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us Documentos\Desktop\lixo definitivo\lixo etapa\"/>
    </mc:Choice>
  </mc:AlternateContent>
  <bookViews>
    <workbookView xWindow="0" yWindow="0" windowWidth="16392" windowHeight="5640" tabRatio="802"/>
  </bookViews>
  <sheets>
    <sheet name="Transporte e transbordo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1">'2.Encargos Sociais'!$A$1:$C$36</definedName>
    <definedName name="_xlnm.Print_Area" localSheetId="0">'Transporte e transbordo'!$A$1:$F$545</definedName>
    <definedName name="_xlnm.Print_Titles" localSheetId="0">'Transporte e transbordo'!$1:$4</definedName>
  </definedNames>
  <calcPr calcId="152511"/>
</workbook>
</file>

<file path=xl/calcChain.xml><?xml version="1.0" encoding="utf-8"?>
<calcChain xmlns="http://schemas.openxmlformats.org/spreadsheetml/2006/main">
  <c r="C459" i="2" l="1"/>
  <c r="C404" i="2"/>
  <c r="C409" i="2"/>
  <c r="E200" i="2"/>
  <c r="A43" i="2" l="1"/>
  <c r="A42" i="2"/>
  <c r="A41" i="2"/>
  <c r="A40" i="2"/>
  <c r="A39" i="2"/>
  <c r="A38" i="2"/>
  <c r="A37" i="2"/>
  <c r="E510" i="2" l="1"/>
  <c r="E511" i="2" s="1"/>
  <c r="F512" i="2" s="1"/>
  <c r="E512" i="2"/>
  <c r="E503" i="2"/>
  <c r="E501" i="2"/>
  <c r="E500" i="2"/>
  <c r="D511" i="2" l="1"/>
  <c r="F503" i="2"/>
  <c r="F505" i="2" s="1"/>
  <c r="D502" i="2"/>
  <c r="A46" i="2"/>
  <c r="E65" i="2"/>
  <c r="E63" i="2"/>
  <c r="A65" i="2"/>
  <c r="A63" i="2"/>
  <c r="A36" i="2"/>
  <c r="A35" i="2"/>
  <c r="A34" i="2"/>
  <c r="A33" i="2"/>
  <c r="A32" i="2"/>
  <c r="A31" i="2"/>
  <c r="A30" i="2"/>
  <c r="C335" i="2"/>
  <c r="C330" i="2"/>
  <c r="C468" i="2"/>
  <c r="C466" i="2"/>
  <c r="E466" i="2" s="1"/>
  <c r="E464" i="2"/>
  <c r="D453" i="2"/>
  <c r="D451" i="2"/>
  <c r="D449" i="2"/>
  <c r="D447" i="2"/>
  <c r="D445" i="2"/>
  <c r="C445" i="2"/>
  <c r="E459" i="2" s="1"/>
  <c r="F460" i="2" s="1"/>
  <c r="E42" i="2" s="1"/>
  <c r="E435" i="2"/>
  <c r="E434" i="2"/>
  <c r="C423" i="2"/>
  <c r="D422" i="2"/>
  <c r="D417" i="2"/>
  <c r="E417" i="2" s="1"/>
  <c r="C410" i="2"/>
  <c r="C422" i="2"/>
  <c r="C405" i="2"/>
  <c r="E401" i="2"/>
  <c r="C394" i="2"/>
  <c r="C392" i="2"/>
  <c r="E392" i="2" s="1"/>
  <c r="E390" i="2"/>
  <c r="D379" i="2"/>
  <c r="D377" i="2"/>
  <c r="D375" i="2"/>
  <c r="D373" i="2"/>
  <c r="D371" i="2"/>
  <c r="C371" i="2"/>
  <c r="C385" i="2" s="1"/>
  <c r="E385" i="2" s="1"/>
  <c r="F386" i="2" s="1"/>
  <c r="E35" i="2" s="1"/>
  <c r="E361" i="2"/>
  <c r="C360" i="2"/>
  <c r="E360" i="2" s="1"/>
  <c r="C359" i="2"/>
  <c r="C354" i="2"/>
  <c r="C349" i="2"/>
  <c r="D348" i="2"/>
  <c r="D343" i="2"/>
  <c r="E343" i="2" s="1"/>
  <c r="C336" i="2"/>
  <c r="C348" i="2"/>
  <c r="C331" i="2"/>
  <c r="E327" i="2"/>
  <c r="A17" i="2"/>
  <c r="A16" i="2"/>
  <c r="A15" i="2"/>
  <c r="A14" i="2"/>
  <c r="E58" i="2"/>
  <c r="E202" i="2" s="1"/>
  <c r="E57" i="2"/>
  <c r="E56" i="2"/>
  <c r="E201" i="2" s="1"/>
  <c r="E55" i="2"/>
  <c r="A58" i="2"/>
  <c r="A57" i="2"/>
  <c r="A56" i="2"/>
  <c r="A55" i="2"/>
  <c r="D176" i="2"/>
  <c r="E176" i="2" s="1"/>
  <c r="D175" i="2"/>
  <c r="E175" i="2" s="1"/>
  <c r="E173" i="2"/>
  <c r="D194" i="2" s="1"/>
  <c r="D161" i="2"/>
  <c r="E161" i="2" s="1"/>
  <c r="D160" i="2"/>
  <c r="E160" i="2" s="1"/>
  <c r="E158" i="2"/>
  <c r="D146" i="2"/>
  <c r="E146" i="2" s="1"/>
  <c r="D145" i="2"/>
  <c r="E145" i="2" s="1"/>
  <c r="E143" i="2"/>
  <c r="D193" i="2" s="1"/>
  <c r="E139" i="2"/>
  <c r="D131" i="2"/>
  <c r="E131" i="2" s="1"/>
  <c r="D130" i="2"/>
  <c r="E130" i="2" s="1"/>
  <c r="E128" i="2"/>
  <c r="E348" i="2" l="1"/>
  <c r="D359" i="2"/>
  <c r="E359" i="2" s="1"/>
  <c r="D362" i="2" s="1"/>
  <c r="E362" i="2" s="1"/>
  <c r="F363" i="2" s="1"/>
  <c r="E33" i="2" s="1"/>
  <c r="E422" i="2"/>
  <c r="D393" i="2"/>
  <c r="E393" i="2" s="1"/>
  <c r="D394" i="2" s="1"/>
  <c r="E394" i="2" s="1"/>
  <c r="F395" i="2" s="1"/>
  <c r="E36" i="2" s="1"/>
  <c r="F514" i="2"/>
  <c r="E46" i="2" s="1"/>
  <c r="C419" i="2"/>
  <c r="D467" i="2"/>
  <c r="E467" i="2" s="1"/>
  <c r="D468" i="2" s="1"/>
  <c r="E468" i="2" s="1"/>
  <c r="F469" i="2" s="1"/>
  <c r="E43" i="2" s="1"/>
  <c r="D380" i="2"/>
  <c r="D454" i="2"/>
  <c r="E445" i="2"/>
  <c r="C449" i="2"/>
  <c r="E449" i="2" s="1"/>
  <c r="C453" i="2"/>
  <c r="E453" i="2" s="1"/>
  <c r="D404" i="2"/>
  <c r="E404" i="2" s="1"/>
  <c r="E406" i="2"/>
  <c r="C447" i="2"/>
  <c r="E447" i="2" s="1"/>
  <c r="C451" i="2"/>
  <c r="E451" i="2" s="1"/>
  <c r="E371" i="2"/>
  <c r="C375" i="2"/>
  <c r="E375" i="2" s="1"/>
  <c r="C379" i="2"/>
  <c r="E379" i="2" s="1"/>
  <c r="D330" i="2"/>
  <c r="E330" i="2" s="1"/>
  <c r="C345" i="2" s="1"/>
  <c r="E332" i="2"/>
  <c r="C373" i="2"/>
  <c r="E373" i="2" s="1"/>
  <c r="C377" i="2"/>
  <c r="E377" i="2" s="1"/>
  <c r="E194" i="2"/>
  <c r="E193" i="2"/>
  <c r="D177" i="2"/>
  <c r="E177" i="2" s="1"/>
  <c r="D179" i="2" s="1"/>
  <c r="E179" i="2" s="1"/>
  <c r="D162" i="2"/>
  <c r="E162" i="2" s="1"/>
  <c r="D164" i="2" s="1"/>
  <c r="E164" i="2" s="1"/>
  <c r="D147" i="2"/>
  <c r="E147" i="2" s="1"/>
  <c r="E149" i="2" s="1"/>
  <c r="D132" i="2"/>
  <c r="E132" i="2" s="1"/>
  <c r="D134" i="2" s="1"/>
  <c r="E134" i="2" s="1"/>
  <c r="C286" i="2"/>
  <c r="C285" i="2"/>
  <c r="C287" i="2"/>
  <c r="D405" i="2" l="1"/>
  <c r="E405" i="2" s="1"/>
  <c r="C420" i="2"/>
  <c r="D421" i="2" s="1"/>
  <c r="E421" i="2" s="1"/>
  <c r="C424" i="2"/>
  <c r="D409" i="2"/>
  <c r="E409" i="2" s="1"/>
  <c r="D410" i="2" s="1"/>
  <c r="E410" i="2" s="1"/>
  <c r="F455" i="2"/>
  <c r="E41" i="2" s="1"/>
  <c r="D331" i="2"/>
  <c r="E331" i="2" s="1"/>
  <c r="C346" i="2"/>
  <c r="D347" i="2" s="1"/>
  <c r="E347" i="2" s="1"/>
  <c r="C350" i="2"/>
  <c r="D335" i="2"/>
  <c r="E335" i="2" s="1"/>
  <c r="D336" i="2" s="1"/>
  <c r="E336" i="2" s="1"/>
  <c r="F381" i="2"/>
  <c r="E34" i="2" s="1"/>
  <c r="E180" i="2"/>
  <c r="E165" i="2"/>
  <c r="E150" i="2"/>
  <c r="E135" i="2"/>
  <c r="A47" i="2"/>
  <c r="A45" i="2"/>
  <c r="A44" i="2"/>
  <c r="A22" i="2"/>
  <c r="A21" i="2"/>
  <c r="A10" i="2"/>
  <c r="C425" i="2" l="1"/>
  <c r="D426" i="2" s="1"/>
  <c r="E426" i="2" s="1"/>
  <c r="E427" i="2" s="1"/>
  <c r="D428" i="2" s="1"/>
  <c r="E428" i="2" s="1"/>
  <c r="F429" i="2" s="1"/>
  <c r="E39" i="2" s="1"/>
  <c r="E411" i="2"/>
  <c r="D412" i="2" s="1"/>
  <c r="E412" i="2" s="1"/>
  <c r="F413" i="2" s="1"/>
  <c r="E38" i="2" s="1"/>
  <c r="C351" i="2"/>
  <c r="D352" i="2" s="1"/>
  <c r="E352" i="2" s="1"/>
  <c r="E353" i="2" s="1"/>
  <c r="D354" i="2" s="1"/>
  <c r="E354" i="2" s="1"/>
  <c r="F355" i="2" s="1"/>
  <c r="E32" i="2" s="1"/>
  <c r="E337" i="2"/>
  <c r="D338" i="2" s="1"/>
  <c r="E338" i="2" s="1"/>
  <c r="F339" i="2" s="1"/>
  <c r="E31" i="2" s="1"/>
  <c r="D181" i="2"/>
  <c r="D166" i="2"/>
  <c r="D151" i="2"/>
  <c r="D136" i="2"/>
  <c r="C18" i="9"/>
  <c r="C10" i="9"/>
  <c r="C11" i="9" s="1"/>
  <c r="E30" i="2" l="1"/>
  <c r="C12" i="9"/>
  <c r="C14" i="9"/>
  <c r="C19" i="9" s="1"/>
  <c r="C21" i="9" s="1"/>
  <c r="C256" i="2"/>
  <c r="C261" i="2"/>
  <c r="E54" i="2" l="1"/>
  <c r="E53" i="2"/>
  <c r="E52" i="2"/>
  <c r="E62" i="2"/>
  <c r="E66" i="2" s="1"/>
  <c r="E59" i="2" l="1"/>
  <c r="C280" i="2"/>
  <c r="C275" i="2"/>
  <c r="D305" i="2"/>
  <c r="D303" i="2"/>
  <c r="D301" i="2"/>
  <c r="D299" i="2"/>
  <c r="D235" i="2" l="1"/>
  <c r="E235" i="2" s="1"/>
  <c r="E219" i="2"/>
  <c r="E220" i="2"/>
  <c r="E221" i="2"/>
  <c r="E222" i="2"/>
  <c r="E223" i="2"/>
  <c r="E224" i="2"/>
  <c r="E225" i="2"/>
  <c r="E226" i="2"/>
  <c r="E227" i="2"/>
  <c r="E218" i="2"/>
  <c r="D76" i="2" l="1"/>
  <c r="E76" i="2" s="1"/>
  <c r="D75" i="2"/>
  <c r="E75" i="2" s="1"/>
  <c r="C113" i="2"/>
  <c r="D77" i="2" l="1"/>
  <c r="E77" i="2" s="1"/>
  <c r="C116" i="2"/>
  <c r="C95" i="2"/>
  <c r="C92" i="2"/>
  <c r="C320" i="2" l="1"/>
  <c r="D108" i="2"/>
  <c r="A29" i="2"/>
  <c r="A28" i="2"/>
  <c r="A27" i="2"/>
  <c r="A26" i="2"/>
  <c r="A25" i="2"/>
  <c r="A24" i="2"/>
  <c r="A23" i="2"/>
  <c r="A20" i="2"/>
  <c r="A19" i="2"/>
  <c r="A18" i="2"/>
  <c r="A13" i="2"/>
  <c r="A12" i="2"/>
  <c r="A11" i="2"/>
  <c r="C17" i="8"/>
  <c r="E493" i="2"/>
  <c r="E289" i="2"/>
  <c r="E281" i="2"/>
  <c r="E265" i="2"/>
  <c r="E243" i="2"/>
  <c r="E230" i="2"/>
  <c r="E209" i="2"/>
  <c r="E124" i="2"/>
  <c r="E102" i="2"/>
  <c r="E83" i="2"/>
  <c r="D269" i="2"/>
  <c r="C13" i="4"/>
  <c r="C18" i="4" s="1"/>
  <c r="C522" i="2" s="1"/>
  <c r="F11" i="4"/>
  <c r="E11" i="4"/>
  <c r="D11" i="4"/>
  <c r="C14" i="8"/>
  <c r="C34" i="5"/>
  <c r="C29" i="5"/>
  <c r="C28" i="8" s="1"/>
  <c r="C28" i="5"/>
  <c r="C119" i="2"/>
  <c r="C110" i="2"/>
  <c r="D107" i="2"/>
  <c r="D113" i="2" s="1"/>
  <c r="E113" i="2" s="1"/>
  <c r="D192" i="2"/>
  <c r="C192" i="2"/>
  <c r="C318" i="2"/>
  <c r="E318" i="2" s="1"/>
  <c r="C297" i="2"/>
  <c r="C299" i="2" s="1"/>
  <c r="E299" i="2" s="1"/>
  <c r="D297" i="2"/>
  <c r="D306" i="2" s="1"/>
  <c r="E253" i="2"/>
  <c r="D433" i="2" s="1"/>
  <c r="E433" i="2" s="1"/>
  <c r="D436" i="2" s="1"/>
  <c r="E436" i="2" s="1"/>
  <c r="F437" i="2" s="1"/>
  <c r="E40" i="2" s="1"/>
  <c r="E37" i="2" s="1"/>
  <c r="D274" i="2"/>
  <c r="C262" i="2"/>
  <c r="C257" i="2"/>
  <c r="C89" i="2"/>
  <c r="C489" i="2"/>
  <c r="C491" i="2" s="1"/>
  <c r="E491" i="2" s="1"/>
  <c r="D492" i="2" s="1"/>
  <c r="E492" i="2" s="1"/>
  <c r="C258" i="2"/>
  <c r="C274" i="2" s="1"/>
  <c r="C191" i="2"/>
  <c r="A52" i="2"/>
  <c r="A53" i="2"/>
  <c r="A54" i="2"/>
  <c r="A62" i="2"/>
  <c r="E74" i="2"/>
  <c r="D191" i="2" s="1"/>
  <c r="C97" i="2"/>
  <c r="A199" i="2"/>
  <c r="A207" i="2" s="1"/>
  <c r="A208" i="2"/>
  <c r="E228" i="2"/>
  <c r="E236" i="2"/>
  <c r="E237" i="2"/>
  <c r="E238" i="2"/>
  <c r="E239" i="2"/>
  <c r="E240" i="2"/>
  <c r="E241" i="2"/>
  <c r="E316" i="2"/>
  <c r="E287" i="2"/>
  <c r="E286" i="2"/>
  <c r="E477" i="2"/>
  <c r="E480" i="2"/>
  <c r="E481" i="2"/>
  <c r="E478" i="2"/>
  <c r="E479" i="2"/>
  <c r="D256" i="2" l="1"/>
  <c r="E256" i="2" s="1"/>
  <c r="D285" i="2"/>
  <c r="C27" i="8"/>
  <c r="G28" i="5"/>
  <c r="C39" i="5"/>
  <c r="E37" i="5"/>
  <c r="D37" i="5" s="1"/>
  <c r="D38" i="5" s="1"/>
  <c r="C38" i="5" s="1"/>
  <c r="C24" i="8" s="1"/>
  <c r="C32" i="8" s="1"/>
  <c r="D95" i="2"/>
  <c r="E95" i="2" s="1"/>
  <c r="D90" i="2"/>
  <c r="E90" i="2" s="1"/>
  <c r="E107" i="2"/>
  <c r="D111" i="2"/>
  <c r="E111" i="2" s="1"/>
  <c r="D114" i="2"/>
  <c r="E114" i="2" s="1"/>
  <c r="D116" i="2"/>
  <c r="E116" i="2" s="1"/>
  <c r="D110" i="2"/>
  <c r="E110" i="2" s="1"/>
  <c r="D93" i="2"/>
  <c r="E93" i="2" s="1"/>
  <c r="D92" i="2"/>
  <c r="E92" i="2" s="1"/>
  <c r="C303" i="2"/>
  <c r="E303" i="2" s="1"/>
  <c r="D89" i="2"/>
  <c r="E89" i="2" s="1"/>
  <c r="C305" i="2"/>
  <c r="E305" i="2" s="1"/>
  <c r="F482" i="2"/>
  <c r="F484" i="2" s="1"/>
  <c r="E44" i="2" s="1"/>
  <c r="E297" i="2"/>
  <c r="E87" i="2"/>
  <c r="E258" i="2"/>
  <c r="C276" i="2" s="1"/>
  <c r="D229" i="2"/>
  <c r="E199" i="2"/>
  <c r="C229" i="2"/>
  <c r="C207" i="2"/>
  <c r="E207" i="2" s="1"/>
  <c r="E191" i="2"/>
  <c r="E274" i="2"/>
  <c r="C208" i="2"/>
  <c r="E208" i="2" s="1"/>
  <c r="D78" i="2"/>
  <c r="E78" i="2" s="1"/>
  <c r="E79" i="2" s="1"/>
  <c r="D80" i="2" s="1"/>
  <c r="C301" i="2"/>
  <c r="E301" i="2" s="1"/>
  <c r="C311" i="2"/>
  <c r="E311" i="2" s="1"/>
  <c r="F312" i="2" s="1"/>
  <c r="E28" i="2" s="1"/>
  <c r="E489" i="2"/>
  <c r="D490" i="2" s="1"/>
  <c r="E490" i="2" s="1"/>
  <c r="F493" i="2" s="1"/>
  <c r="F495" i="2" s="1"/>
  <c r="E45" i="2" s="1"/>
  <c r="E269" i="2"/>
  <c r="D319" i="2"/>
  <c r="E319" i="2" s="1"/>
  <c r="D320" i="2" s="1"/>
  <c r="E320" i="2" s="1"/>
  <c r="F321" i="2" s="1"/>
  <c r="E29" i="2" s="1"/>
  <c r="E192" i="2"/>
  <c r="D242" i="2"/>
  <c r="F203" i="2" l="1"/>
  <c r="E19" i="2" s="1"/>
  <c r="F195" i="2"/>
  <c r="E18" i="2" s="1"/>
  <c r="D257" i="2"/>
  <c r="E257" i="2" s="1"/>
  <c r="E285" i="2"/>
  <c r="D288" i="2" s="1"/>
  <c r="E288" i="2" s="1"/>
  <c r="F289" i="2" s="1"/>
  <c r="E26" i="2" s="1"/>
  <c r="C271" i="2"/>
  <c r="C272" i="2" s="1"/>
  <c r="D273" i="2" s="1"/>
  <c r="E273" i="2" s="1"/>
  <c r="C26" i="8"/>
  <c r="C25" i="8"/>
  <c r="C16" i="8" s="1"/>
  <c r="C22" i="8" s="1"/>
  <c r="C31" i="8" s="1"/>
  <c r="C33" i="8" s="1"/>
  <c r="K35" i="5"/>
  <c r="K36" i="5" s="1"/>
  <c r="K37" i="5" s="1"/>
  <c r="K38" i="5" s="1"/>
  <c r="K39" i="5" s="1"/>
  <c r="K40" i="5" s="1"/>
  <c r="K41" i="5" s="1"/>
  <c r="F37" i="5"/>
  <c r="G37" i="5" s="1"/>
  <c r="C37" i="5"/>
  <c r="D96" i="2"/>
  <c r="E96" i="2" s="1"/>
  <c r="D97" i="2" s="1"/>
  <c r="E97" i="2" s="1"/>
  <c r="D117" i="2"/>
  <c r="E117" i="2" s="1"/>
  <c r="D119" i="2" s="1"/>
  <c r="E119" i="2" s="1"/>
  <c r="F209" i="2"/>
  <c r="E242" i="2"/>
  <c r="F243" i="2" s="1"/>
  <c r="E229" i="2"/>
  <c r="F230" i="2" s="1"/>
  <c r="D261" i="2"/>
  <c r="E261" i="2" s="1"/>
  <c r="D262" i="2" s="1"/>
  <c r="E262" i="2" s="1"/>
  <c r="F307" i="2"/>
  <c r="E27" i="2" s="1"/>
  <c r="E20" i="2" l="1"/>
  <c r="C29" i="8"/>
  <c r="C34" i="8" s="1"/>
  <c r="G38" i="5"/>
  <c r="G32" i="5"/>
  <c r="E263" i="2"/>
  <c r="D264" i="2" s="1"/>
  <c r="E264" i="2" s="1"/>
  <c r="F265" i="2" s="1"/>
  <c r="E24" i="2" s="1"/>
  <c r="C277" i="2"/>
  <c r="D278" i="2" s="1"/>
  <c r="E278" i="2" s="1"/>
  <c r="E279" i="2" s="1"/>
  <c r="D280" i="2" s="1"/>
  <c r="E280" i="2" s="1"/>
  <c r="F281" i="2" s="1"/>
  <c r="F245" i="2"/>
  <c r="E21" i="2" s="1"/>
  <c r="E120" i="2"/>
  <c r="D121" i="2" s="1"/>
  <c r="E98" i="2"/>
  <c r="C181" i="2" l="1"/>
  <c r="E181" i="2" s="1"/>
  <c r="E182" i="2" s="1"/>
  <c r="D183" i="2" s="1"/>
  <c r="E183" i="2" s="1"/>
  <c r="F184" i="2" s="1"/>
  <c r="E17" i="2" s="1"/>
  <c r="C166" i="2"/>
  <c r="E166" i="2" s="1"/>
  <c r="E167" i="2" s="1"/>
  <c r="D168" i="2" s="1"/>
  <c r="E168" i="2" s="1"/>
  <c r="F169" i="2" s="1"/>
  <c r="E16" i="2" s="1"/>
  <c r="C136" i="2"/>
  <c r="E136" i="2" s="1"/>
  <c r="E137" i="2" s="1"/>
  <c r="D138" i="2" s="1"/>
  <c r="E138" i="2" s="1"/>
  <c r="F139" i="2" s="1"/>
  <c r="E14" i="2" s="1"/>
  <c r="C151" i="2"/>
  <c r="E151" i="2" s="1"/>
  <c r="E152" i="2" s="1"/>
  <c r="D153" i="2" s="1"/>
  <c r="E153" i="2" s="1"/>
  <c r="F154" i="2" s="1"/>
  <c r="C80" i="2"/>
  <c r="E80" i="2" s="1"/>
  <c r="E81" i="2" s="1"/>
  <c r="D82" i="2" s="1"/>
  <c r="E82" i="2" s="1"/>
  <c r="F83" i="2" s="1"/>
  <c r="C121" i="2"/>
  <c r="C99" i="2"/>
  <c r="E25" i="2"/>
  <c r="E23" i="2" s="1"/>
  <c r="F472" i="2"/>
  <c r="E22" i="2" s="1"/>
  <c r="D99" i="2"/>
  <c r="E15" i="2" l="1"/>
  <c r="F211" i="2"/>
  <c r="F517" i="2" s="1"/>
  <c r="D522" i="2" s="1"/>
  <c r="E11" i="2"/>
  <c r="E99" i="2"/>
  <c r="E100" i="2" s="1"/>
  <c r="D101" i="2" s="1"/>
  <c r="E101" i="2" s="1"/>
  <c r="F102" i="2" s="1"/>
  <c r="E12" i="2" s="1"/>
  <c r="E121" i="2"/>
  <c r="E122" i="2" s="1"/>
  <c r="D123" i="2" s="1"/>
  <c r="E123" i="2" s="1"/>
  <c r="F124" i="2" s="1"/>
  <c r="E13" i="2" l="1"/>
  <c r="E10" i="2" l="1"/>
  <c r="E522" i="2"/>
  <c r="F523" i="2" s="1"/>
  <c r="F525" i="2" s="1"/>
  <c r="E47" i="2" s="1"/>
  <c r="E48" i="2" l="1"/>
  <c r="F528" i="2"/>
  <c r="F532" i="2" s="1"/>
  <c r="F46" i="2" l="1"/>
  <c r="F38" i="2"/>
  <c r="F41" i="2"/>
  <c r="F42" i="2"/>
  <c r="F40" i="2"/>
  <c r="F43" i="2"/>
  <c r="F39" i="2"/>
  <c r="F37" i="2"/>
  <c r="F35" i="2"/>
  <c r="F33" i="2"/>
  <c r="F31" i="2"/>
  <c r="F36" i="2"/>
  <c r="F34" i="2"/>
  <c r="F32" i="2"/>
  <c r="F30" i="2"/>
  <c r="F10" i="2"/>
  <c r="F15" i="2"/>
  <c r="F17" i="2"/>
  <c r="F16" i="2"/>
  <c r="F14" i="2"/>
  <c r="F45" i="2"/>
  <c r="F12" i="2"/>
  <c r="F21" i="2"/>
  <c r="F11" i="2"/>
  <c r="F20" i="2"/>
  <c r="F13" i="2"/>
  <c r="F22" i="2"/>
  <c r="F29" i="2"/>
  <c r="F28" i="2"/>
  <c r="F23" i="2"/>
  <c r="F24" i="2"/>
  <c r="F25" i="2"/>
  <c r="F19" i="2"/>
  <c r="F26" i="2"/>
  <c r="F18" i="2"/>
  <c r="F44" i="2"/>
  <c r="F27" i="2"/>
  <c r="F47" i="2"/>
  <c r="F48" i="2" l="1"/>
</calcChain>
</file>

<file path=xl/comments1.xml><?xml version="1.0" encoding="utf-8"?>
<comments xmlns="http://schemas.openxmlformats.org/spreadsheetml/2006/main">
  <authors>
    <author>Clauber Bridi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4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75" authorId="0" shape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77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0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2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88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0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1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93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94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96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9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1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9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12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4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5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7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8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21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3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8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29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30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31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32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3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34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36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38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43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44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45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46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47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8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49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51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53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58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59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60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61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62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3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64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66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68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73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74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75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76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77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8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79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81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83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89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90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91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92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99" authorId="0" shapeId="0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207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D208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C21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1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1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1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228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23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4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41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253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254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255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256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8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259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260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261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4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70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6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87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293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96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96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98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98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300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300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302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302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304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304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311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316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316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317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318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319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D327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328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329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330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2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333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334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335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8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344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0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361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367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370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370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372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372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374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374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376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376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378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378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385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390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390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391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392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393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D401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402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403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404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6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407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408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409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2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418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4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435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441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444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444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446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446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448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448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450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450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452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452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459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464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464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465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466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467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477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7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78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7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79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7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80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8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81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8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486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9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491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A497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0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A507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0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C522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530" authorId="0" shape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Jorge Mesquita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</rPr>
          <t>Jorge Mesquita:</t>
        </r>
        <r>
          <rPr>
            <sz val="9"/>
            <color indexed="81"/>
            <rFont val="Tahoma"/>
            <family val="2"/>
          </rPr>
          <t xml:space="preserve">
Criar um tipo de arredondamento.
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4.xml><?xml version="1.0" encoding="utf-8"?>
<comments xmlns="http://schemas.openxmlformats.org/spreadsheetml/2006/main">
  <authors>
    <author>cbridi</author>
    <author>Clauber Bridi</author>
    <author>Omar</author>
  </authors>
  <commentList>
    <comment ref="C9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1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3" authorId="0" shapeId="0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6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17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0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<sst xmlns="http://schemas.openxmlformats.org/spreadsheetml/2006/main" count="984" uniqueCount="354">
  <si>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</si>
  <si>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</si>
  <si>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</si>
  <si>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</si>
  <si>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</si>
  <si>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</si>
  <si>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</si>
  <si>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</si>
  <si>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</si>
  <si>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</si>
  <si>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</si>
  <si>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</si>
  <si>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</si>
  <si>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</si>
  <si>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</si>
  <si>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</si>
  <si>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</si>
  <si>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</si>
  <si>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</si>
  <si>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</si>
  <si>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</si>
  <si>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</si>
  <si>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</si>
  <si>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</si>
  <si>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</si>
  <si>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</si>
  <si>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</si>
  <si>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</si>
  <si>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</si>
  <si>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</si>
  <si>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</si>
  <si>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</si>
  <si>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</si>
  <si>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</si>
  <si>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</si>
  <si>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</si>
  <si>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</si>
  <si>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</si>
  <si>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</si>
  <si>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</si>
  <si>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</si>
  <si>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</si>
  <si>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</si>
  <si>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</si>
  <si>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</si>
  <si>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</si>
  <si>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</si>
  <si>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</si>
  <si>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</si>
  <si>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</si>
  <si>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</si>
  <si>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</si>
  <si>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</si>
  <si>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</si>
  <si>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</si>
  <si>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</si>
  <si>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</si>
  <si>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</si>
  <si>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</si>
  <si>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</si>
  <si>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</si>
  <si>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</si>
  <si>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</si>
  <si>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</si>
  <si>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</si>
  <si>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</si>
  <si>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</si>
  <si>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</si>
  <si>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</si>
  <si>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</si>
  <si>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</si>
  <si>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</si>
  <si>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</si>
  <si>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</si>
  <si>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</si>
  <si>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</si>
  <si>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</si>
  <si>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</si>
  <si>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</si>
  <si>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</si>
  <si>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</si>
  <si>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</si>
  <si>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</si>
  <si>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</si>
  <si>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</si>
  <si>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</si>
  <si>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</si>
  <si>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</si>
  <si>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</si>
  <si>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</si>
  <si>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</si>
  <si>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</si>
  <si>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</si>
  <si>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</si>
  <si>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Vale Transporte</t>
  </si>
  <si>
    <t>Dias Trabalhados por mês</t>
  </si>
  <si>
    <t>dia</t>
  </si>
  <si>
    <t>Custo Mensal com Mão-de-obra (R$/mês)</t>
  </si>
  <si>
    <t>Meia de algodão com cano alto</t>
  </si>
  <si>
    <t>Custo do jogo de pneus xxx/xx Rxx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</si>
  <si>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</si>
  <si>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Quantitativos</t>
  </si>
  <si>
    <t>horas trabalhadas</t>
  </si>
  <si>
    <t>Horas Extras Noturnas (100%)</t>
  </si>
  <si>
    <t>1.1. Coletor Turno Dia</t>
  </si>
  <si>
    <t>1.4. Motorista Turno Noite</t>
  </si>
  <si>
    <t>hora contabilizada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</si>
  <si>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</si>
  <si>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</si>
  <si>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</si>
  <si>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</si>
  <si>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</si>
  <si>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</si>
  <si>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</si>
  <si>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</si>
  <si>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</si>
  <si>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</si>
  <si>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</si>
  <si>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</si>
  <si>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</si>
  <si>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</si>
  <si>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</si>
  <si>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</si>
  <si>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</si>
  <si>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</si>
  <si>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</si>
  <si>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</si>
  <si>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</si>
  <si>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</si>
  <si>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</si>
  <si>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</si>
  <si>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</si>
  <si>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</si>
  <si>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</si>
  <si>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</si>
  <si>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</si>
  <si>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</si>
  <si>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</si>
  <si>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</si>
  <si>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</si>
  <si>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</si>
  <si>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</si>
  <si>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Rotatividade</t>
  </si>
  <si>
    <t>Demitidos s/ Justa Causa em relação ao Estoque Médio</t>
  </si>
  <si>
    <t>Dias ano</t>
  </si>
  <si>
    <t>Estoque Médio</t>
  </si>
  <si>
    <t>Multa FGTS</t>
  </si>
  <si>
    <t>Fração de tempo para gozo férias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</si>
  <si>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</si>
  <si>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</si>
  <si>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</si>
  <si>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</si>
  <si>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</si>
  <si>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</si>
  <si>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</si>
  <si>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</si>
  <si>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</si>
  <si>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</si>
  <si>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</si>
  <si>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</si>
  <si>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</si>
  <si>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</si>
  <si>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</si>
  <si>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</si>
  <si>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</si>
  <si>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</si>
  <si>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</si>
  <si>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</si>
  <si>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</si>
  <si>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</si>
  <si>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</si>
  <si>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</si>
  <si>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</si>
  <si>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</si>
  <si>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</si>
  <si>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</si>
  <si>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</si>
  <si>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</si>
  <si>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</si>
  <si>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</si>
  <si>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</si>
  <si>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</si>
  <si>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</si>
  <si>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</si>
  <si>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</si>
  <si>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</si>
  <si>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</si>
  <si>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</si>
  <si>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</si>
  <si>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</si>
  <si>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</si>
  <si>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</si>
  <si>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</si>
  <si>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</si>
  <si>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</si>
  <si>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</si>
  <si>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</si>
  <si>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</si>
  <si>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</si>
  <si>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</si>
  <si>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</si>
  <si>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</si>
  <si>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</si>
  <si>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</si>
  <si>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</si>
  <si>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</si>
  <si>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</si>
  <si>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</si>
  <si>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</si>
  <si>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</si>
  <si>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</si>
  <si>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</si>
  <si>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</si>
  <si>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</si>
  <si>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</si>
  <si>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</si>
  <si>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</si>
  <si>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</si>
  <si>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</si>
  <si>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</si>
  <si>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</si>
  <si>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</si>
  <si>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</si>
  <si>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</si>
  <si>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</si>
  <si>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</si>
  <si>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</si>
  <si>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Salário mínimo nacional</t>
  </si>
  <si>
    <t>Base de cálculo da Insalubridade</t>
  </si>
  <si>
    <t>Piso da categoria (1)</t>
  </si>
  <si>
    <t>Salário mínimo nacional (2)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</si>
  <si>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</si>
  <si>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</si>
  <si>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</si>
  <si>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</si>
  <si>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</si>
  <si>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</si>
  <si>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</si>
  <si>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</si>
  <si>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</si>
  <si>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</si>
  <si>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</si>
  <si>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</si>
  <si>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</si>
  <si>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</si>
  <si>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</si>
  <si>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</si>
  <si>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</si>
  <si>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</si>
  <si>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</si>
  <si>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</si>
  <si>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</si>
  <si>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</si>
  <si>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</si>
  <si>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</si>
  <si>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</si>
  <si>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</si>
  <si>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</si>
  <si>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</si>
  <si>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</si>
  <si>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</si>
  <si>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</si>
  <si>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</si>
  <si>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</si>
  <si>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</si>
  <si>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</si>
  <si>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</si>
  <si>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</si>
  <si>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</si>
  <si>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</si>
  <si>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</si>
  <si>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</si>
  <si>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</si>
  <si>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</si>
  <si>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</si>
  <si>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</si>
  <si>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</si>
  <si>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</si>
  <si>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</si>
  <si>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</si>
  <si>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</si>
  <si>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</si>
  <si>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</si>
  <si>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</si>
  <si>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</si>
  <si>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</si>
  <si>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</si>
  <si>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</si>
  <si>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</si>
  <si>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</si>
  <si>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</si>
  <si>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</si>
  <si>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</si>
  <si>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</si>
  <si>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</si>
  <si>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</si>
  <si>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</si>
  <si>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</si>
  <si>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</si>
  <si>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</si>
  <si>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</si>
  <si>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</si>
  <si>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</si>
  <si>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</si>
  <si>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</si>
  <si>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r>
      <t>3.1. Veículo Coletor Compactador</t>
    </r>
    <r>
      <rPr>
        <sz val="10"/>
        <color indexed="10"/>
        <rFont val="Arial"/>
        <family val="2"/>
      </rPr>
      <t xml:space="preserve"> 15</t>
    </r>
    <r>
      <rPr>
        <sz val="10"/>
        <rFont val="Arial"/>
        <family val="2"/>
      </rPr>
      <t xml:space="preserve"> m³</t>
    </r>
  </si>
  <si>
    <t>Tecnico de Segurança do Trabalho</t>
  </si>
  <si>
    <t>1.7. Responsavel Tecnico</t>
  </si>
  <si>
    <t>1.8. Tecnico de Segurança do Trabalho</t>
  </si>
  <si>
    <t>1.11. Auxílio Alimentação (mensal)</t>
  </si>
  <si>
    <t>Idade do bau</t>
  </si>
  <si>
    <t>Depreciação do bau</t>
  </si>
  <si>
    <t>Depreciação mensal do bau</t>
  </si>
  <si>
    <t>Total de Veiculos e Equipamentos</t>
  </si>
  <si>
    <t>6. Administração Local</t>
  </si>
  <si>
    <t>Aluguel de Patio</t>
  </si>
  <si>
    <t>Comunicação Movel</t>
  </si>
  <si>
    <t>Custo mensal com administração local</t>
  </si>
  <si>
    <t>Custo Mensal com Administração Local (R$/mês)</t>
  </si>
  <si>
    <t>Estoque recuperado início do Período 01-01-2017</t>
  </si>
  <si>
    <t>Estoque recuperado final do Período 31-01-2018</t>
  </si>
  <si>
    <t>Variação Emprego Absoluta de 01-01-2017 a 31-01-2018</t>
  </si>
  <si>
    <t>Motorista de Carreta</t>
  </si>
  <si>
    <t>Destinação final dos residuos</t>
  </si>
  <si>
    <t>Custo mensal com destinação final</t>
  </si>
  <si>
    <t>Custo Mensal com Destinação Final (R$/mês)</t>
  </si>
  <si>
    <t>6. Destinação Final</t>
  </si>
  <si>
    <t>Motorista Carreta</t>
  </si>
  <si>
    <t>3.2.1. Depreciação</t>
  </si>
  <si>
    <t>3.2.2. Remuneração do Capital</t>
  </si>
  <si>
    <t>3.2.3. Impostos e Seguros</t>
  </si>
  <si>
    <t>3.2.4. Consumos</t>
  </si>
  <si>
    <t>3.2.6. Pneus</t>
  </si>
  <si>
    <t>Encarregado</t>
  </si>
  <si>
    <t>1.2. Reciclador</t>
  </si>
  <si>
    <t>1.4. Encarregado</t>
  </si>
  <si>
    <t>Reciclador</t>
  </si>
  <si>
    <t>3.2. Veículo Coletor Bau (Coleta Seletiva)</t>
  </si>
  <si>
    <t>3.2.3.  Manutenção</t>
  </si>
  <si>
    <t>1.4. Vale Transporte</t>
  </si>
  <si>
    <t>6. Benefícios e Despesas Indiretas - BDI</t>
  </si>
  <si>
    <t>1.2. Motorista Carreta</t>
  </si>
  <si>
    <t>1.3. Vale-refeição (diário)</t>
  </si>
  <si>
    <t>2.1. Uniformes e EPIs para demais categorias</t>
  </si>
  <si>
    <t>3.1. Veículo Caminhao Roll On Off</t>
  </si>
  <si>
    <t>3.3. Container 30 m³</t>
  </si>
  <si>
    <t>Custo de aquisição do container</t>
  </si>
  <si>
    <t>Vida útil do container</t>
  </si>
  <si>
    <t>Depreciação mensal veículos</t>
  </si>
  <si>
    <t>Custo do container</t>
  </si>
  <si>
    <t>Valor do container proposto (V0)</t>
  </si>
  <si>
    <t>Investimento médio total do container</t>
  </si>
  <si>
    <t>1. Transporte de Residuos Solidos (alta temporada: 24/12 a 02/03)</t>
  </si>
  <si>
    <t>PREÇO TOTAL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</si>
</sst>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.0_-;\-* #,##0.0_-;_-* &quot;-&quot;?_-;_-@_-"/>
    <numFmt numFmtId="174" formatCode="0.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43">
    <xf numFmtId="0" fontId="0" fillId="0" borderId="0" xfId="0"/>
    <xf numFmtId="0" fontId="6" fillId="0" borderId="0" xfId="0" applyFont="1"/>
    <xf numFmtId="0" fontId="6" fillId="0" borderId="1" xfId="0" applyFont="1" applyBorder="1"/>
    <xf numFmtId="0" fontId="0" fillId="0" borderId="0" xfId="0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6" fontId="5" fillId="0" borderId="0" xfId="3" applyFont="1" applyAlignment="1">
      <alignment vertical="center"/>
    </xf>
    <xf numFmtId="166" fontId="6" fillId="0" borderId="0" xfId="3" applyFont="1"/>
    <xf numFmtId="166" fontId="3" fillId="0" borderId="5" xfId="3" applyFont="1" applyBorder="1" applyAlignment="1">
      <alignment horizontal="left" vertical="center"/>
    </xf>
    <xf numFmtId="166" fontId="3" fillId="0" borderId="0" xfId="3" applyFont="1" applyAlignment="1">
      <alignment vertical="center"/>
    </xf>
    <xf numFmtId="166" fontId="0" fillId="0" borderId="14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166" fontId="3" fillId="0" borderId="19" xfId="3" applyFont="1" applyBorder="1" applyAlignment="1">
      <alignment horizontal="center" vertical="center"/>
    </xf>
    <xf numFmtId="166" fontId="1" fillId="0" borderId="14" xfId="3" applyFont="1" applyBorder="1" applyAlignment="1">
      <alignment horizontal="left" vertical="center"/>
    </xf>
    <xf numFmtId="166" fontId="6" fillId="0" borderId="14" xfId="3" applyFont="1" applyBorder="1" applyAlignment="1">
      <alignment vertical="center"/>
    </xf>
    <xf numFmtId="166" fontId="3" fillId="0" borderId="28" xfId="3" applyFont="1" applyBorder="1" applyAlignment="1">
      <alignment vertical="center"/>
    </xf>
    <xf numFmtId="166" fontId="6" fillId="0" borderId="19" xfId="3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2" xfId="0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166" fontId="3" fillId="0" borderId="14" xfId="3" applyFont="1" applyBorder="1" applyAlignment="1">
      <alignment vertical="center"/>
    </xf>
    <xf numFmtId="166" fontId="3" fillId="0" borderId="38" xfId="3" applyFont="1" applyBorder="1" applyAlignment="1">
      <alignment vertical="center"/>
    </xf>
    <xf numFmtId="166" fontId="3" fillId="0" borderId="14" xfId="3" applyFont="1" applyBorder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7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0" fontId="18" fillId="0" borderId="14" xfId="0" applyFont="1" applyBorder="1"/>
    <xf numFmtId="0" fontId="6" fillId="0" borderId="0" xfId="0" applyFont="1" applyBorder="1"/>
    <xf numFmtId="0" fontId="18" fillId="0" borderId="45" xfId="0" applyFont="1" applyBorder="1"/>
    <xf numFmtId="0" fontId="18" fillId="3" borderId="20" xfId="0" applyFont="1" applyFill="1" applyBorder="1"/>
    <xf numFmtId="0" fontId="18" fillId="0" borderId="23" xfId="0" applyFont="1" applyBorder="1"/>
    <xf numFmtId="0" fontId="18" fillId="0" borderId="49" xfId="0" applyFont="1" applyBorder="1"/>
    <xf numFmtId="0" fontId="18" fillId="0" borderId="46" xfId="0" applyFont="1" applyBorder="1"/>
    <xf numFmtId="0" fontId="18" fillId="0" borderId="50" xfId="0" applyFont="1" applyBorder="1"/>
    <xf numFmtId="0" fontId="18" fillId="0" borderId="20" xfId="0" applyFont="1" applyBorder="1"/>
    <xf numFmtId="0" fontId="18" fillId="0" borderId="28" xfId="0" applyFont="1" applyBorder="1"/>
    <xf numFmtId="2" fontId="19" fillId="6" borderId="1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2" fontId="19" fillId="6" borderId="36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20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20" xfId="0" applyNumberFormat="1" applyFont="1" applyBorder="1" applyAlignment="1">
      <alignment horizontal="right" vertical="center"/>
    </xf>
    <xf numFmtId="0" fontId="19" fillId="5" borderId="23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20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8" borderId="24" xfId="0" applyFont="1" applyFill="1" applyBorder="1" applyAlignment="1">
      <alignment horizontal="left" vertical="center"/>
    </xf>
    <xf numFmtId="0" fontId="23" fillId="8" borderId="36" xfId="0" applyFont="1" applyFill="1" applyBorder="1" applyAlignment="1">
      <alignment horizontal="left" vertical="center"/>
    </xf>
    <xf numFmtId="10" fontId="23" fillId="8" borderId="37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5" xfId="0" applyFont="1" applyBorder="1"/>
    <xf numFmtId="0" fontId="5" fillId="0" borderId="23" xfId="0" applyFont="1" applyBorder="1"/>
    <xf numFmtId="0" fontId="5" fillId="3" borderId="20" xfId="0" applyFont="1" applyFill="1" applyBorder="1"/>
    <xf numFmtId="0" fontId="5" fillId="0" borderId="45" xfId="0" applyFont="1" applyBorder="1"/>
    <xf numFmtId="0" fontId="5" fillId="3" borderId="46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38" xfId="0" applyFont="1" applyBorder="1"/>
    <xf numFmtId="0" fontId="5" fillId="0" borderId="39" xfId="0" applyFont="1" applyBorder="1"/>
    <xf numFmtId="0" fontId="7" fillId="0" borderId="46" xfId="0" applyFont="1" applyBorder="1"/>
    <xf numFmtId="9" fontId="7" fillId="0" borderId="46" xfId="0" applyNumberFormat="1" applyFont="1" applyBorder="1"/>
    <xf numFmtId="0" fontId="7" fillId="0" borderId="38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3" xfId="2" applyFont="1" applyBorder="1"/>
    <xf numFmtId="9" fontId="5" fillId="0" borderId="1" xfId="2" applyFont="1" applyBorder="1" applyAlignment="1">
      <alignment horizontal="center"/>
    </xf>
    <xf numFmtId="9" fontId="5" fillId="0" borderId="20" xfId="2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10" fontId="5" fillId="3" borderId="12" xfId="0" applyNumberFormat="1" applyFont="1" applyFill="1" applyBorder="1" applyAlignment="1">
      <alignment horizontal="center" vertical="center"/>
    </xf>
    <xf numFmtId="10" fontId="5" fillId="0" borderId="20" xfId="2" applyNumberFormat="1" applyFont="1" applyBorder="1"/>
    <xf numFmtId="0" fontId="5" fillId="0" borderId="2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20" xfId="0" applyNumberFormat="1" applyFont="1" applyFill="1" applyBorder="1" applyAlignment="1">
      <alignment horizontal="center" vertical="center"/>
    </xf>
    <xf numFmtId="10" fontId="5" fillId="0" borderId="20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0" xfId="0" applyFont="1" applyBorder="1"/>
    <xf numFmtId="0" fontId="5" fillId="0" borderId="24" xfId="0" applyFont="1" applyFill="1" applyBorder="1" applyAlignment="1">
      <alignment horizontal="left" vertical="center"/>
    </xf>
    <xf numFmtId="10" fontId="5" fillId="3" borderId="3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10" fontId="5" fillId="0" borderId="27" xfId="0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20" xfId="2" applyNumberFormat="1" applyFont="1" applyBorder="1" applyAlignment="1">
      <alignment horizontal="right"/>
    </xf>
    <xf numFmtId="10" fontId="5" fillId="0" borderId="24" xfId="2" applyNumberFormat="1" applyFont="1" applyBorder="1" applyAlignment="1">
      <alignment horizontal="right"/>
    </xf>
    <xf numFmtId="10" fontId="5" fillId="0" borderId="36" xfId="2" applyNumberFormat="1" applyFont="1" applyBorder="1" applyAlignment="1">
      <alignment horizontal="right"/>
    </xf>
    <xf numFmtId="10" fontId="5" fillId="0" borderId="37" xfId="2" applyNumberFormat="1" applyFont="1" applyBorder="1" applyAlignment="1">
      <alignment horizontal="right"/>
    </xf>
    <xf numFmtId="0" fontId="6" fillId="0" borderId="52" xfId="0" applyFont="1" applyBorder="1"/>
    <xf numFmtId="0" fontId="20" fillId="0" borderId="52" xfId="0" applyFont="1" applyBorder="1" applyAlignment="1">
      <alignment horizontal="justify"/>
    </xf>
    <xf numFmtId="0" fontId="20" fillId="0" borderId="53" xfId="0" applyFont="1" applyBorder="1" applyAlignment="1">
      <alignment horizontal="justify"/>
    </xf>
    <xf numFmtId="0" fontId="17" fillId="9" borderId="51" xfId="0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/>
    <xf numFmtId="170" fontId="18" fillId="0" borderId="46" xfId="0" applyNumberFormat="1" applyFont="1" applyBorder="1"/>
    <xf numFmtId="170" fontId="7" fillId="0" borderId="46" xfId="0" applyNumberFormat="1" applyFont="1" applyBorder="1"/>
    <xf numFmtId="170" fontId="7" fillId="0" borderId="31" xfId="0" applyNumberFormat="1" applyFont="1" applyBorder="1"/>
    <xf numFmtId="0" fontId="3" fillId="0" borderId="54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3" xfId="0" applyFont="1" applyBorder="1"/>
    <xf numFmtId="0" fontId="7" fillId="0" borderId="1" xfId="0" applyFont="1" applyBorder="1"/>
    <xf numFmtId="0" fontId="7" fillId="0" borderId="20" xfId="0" applyFont="1" applyBorder="1"/>
    <xf numFmtId="0" fontId="5" fillId="0" borderId="23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4" fillId="0" borderId="20" xfId="3" applyNumberFormat="1" applyFont="1" applyBorder="1" applyAlignment="1">
      <alignment horizontal="center" vertical="center" wrapText="1"/>
    </xf>
    <xf numFmtId="172" fontId="5" fillId="0" borderId="20" xfId="0" applyNumberFormat="1" applyFont="1" applyBorder="1"/>
    <xf numFmtId="2" fontId="5" fillId="0" borderId="20" xfId="0" applyNumberFormat="1" applyFont="1" applyBorder="1"/>
    <xf numFmtId="0" fontId="5" fillId="0" borderId="24" xfId="0" applyFont="1" applyFill="1" applyBorder="1"/>
    <xf numFmtId="0" fontId="5" fillId="0" borderId="36" xfId="0" applyFont="1" applyBorder="1"/>
    <xf numFmtId="172" fontId="5" fillId="3" borderId="20" xfId="0" applyNumberFormat="1" applyFont="1" applyFill="1" applyBorder="1"/>
    <xf numFmtId="172" fontId="5" fillId="0" borderId="37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0" fontId="5" fillId="0" borderId="23" xfId="0" applyFont="1" applyBorder="1" applyAlignment="1">
      <alignment horizontal="right"/>
    </xf>
    <xf numFmtId="166" fontId="3" fillId="0" borderId="14" xfId="3" applyFont="1" applyBorder="1" applyAlignment="1">
      <alignment horizontal="left" vertical="center"/>
    </xf>
    <xf numFmtId="173" fontId="5" fillId="3" borderId="20" xfId="0" applyNumberFormat="1" applyFont="1" applyFill="1" applyBorder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4" fontId="0" fillId="4" borderId="0" xfId="0" applyNumberFormat="1" applyFill="1" applyBorder="1" applyAlignment="1">
      <alignment vertical="center"/>
    </xf>
    <xf numFmtId="166" fontId="0" fillId="4" borderId="11" xfId="3" applyFont="1" applyFill="1" applyBorder="1" applyAlignment="1">
      <alignment vertical="center"/>
    </xf>
    <xf numFmtId="166" fontId="3" fillId="4" borderId="9" xfId="0" applyNumberFormat="1" applyFont="1" applyFill="1" applyBorder="1" applyAlignment="1">
      <alignment vertical="center"/>
    </xf>
    <xf numFmtId="166" fontId="0" fillId="4" borderId="9" xfId="0" applyNumberFormat="1" applyFill="1" applyBorder="1" applyAlignment="1">
      <alignment vertical="center"/>
    </xf>
    <xf numFmtId="4" fontId="3" fillId="4" borderId="9" xfId="0" applyNumberFormat="1" applyFont="1" applyFill="1" applyBorder="1" applyAlignment="1">
      <alignment horizontal="centerContinuous" vertical="center"/>
    </xf>
    <xf numFmtId="4" fontId="0" fillId="4" borderId="9" xfId="0" applyNumberFormat="1" applyFill="1" applyBorder="1" applyAlignment="1">
      <alignment horizontal="centerContinuous" vertical="center"/>
    </xf>
    <xf numFmtId="4" fontId="3" fillId="4" borderId="6" xfId="0" applyNumberFormat="1" applyFont="1" applyFill="1" applyBorder="1" applyAlignment="1">
      <alignment horizontal="centerContinuous" vertical="center"/>
    </xf>
    <xf numFmtId="166" fontId="6" fillId="4" borderId="11" xfId="3" applyFont="1" applyFill="1" applyBorder="1" applyAlignment="1">
      <alignment vertical="center"/>
    </xf>
    <xf numFmtId="166" fontId="6" fillId="4" borderId="9" xfId="3" applyFont="1" applyFill="1" applyBorder="1" applyAlignment="1">
      <alignment vertical="center"/>
    </xf>
    <xf numFmtId="4" fontId="3" fillId="4" borderId="2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166" fontId="6" fillId="4" borderId="0" xfId="3" applyFont="1" applyFill="1" applyBorder="1" applyAlignment="1">
      <alignment vertical="center"/>
    </xf>
    <xf numFmtId="9" fontId="3" fillId="4" borderId="7" xfId="2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3" fillId="4" borderId="6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vertical="center"/>
    </xf>
    <xf numFmtId="0" fontId="8" fillId="4" borderId="0" xfId="1" applyFill="1" applyAlignment="1" applyProtection="1">
      <alignment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13" fillId="4" borderId="33" xfId="0" applyFont="1" applyFill="1" applyBorder="1" applyAlignment="1">
      <alignment horizontal="center" vertical="center"/>
    </xf>
    <xf numFmtId="3" fontId="6" fillId="4" borderId="0" xfId="0" applyNumberFormat="1" applyFont="1" applyFill="1" applyAlignment="1">
      <alignment vertical="center"/>
    </xf>
    <xf numFmtId="3" fontId="6" fillId="4" borderId="1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9" xfId="0" applyFont="1" applyFill="1" applyBorder="1" applyAlignment="1">
      <alignment vertical="center"/>
    </xf>
    <xf numFmtId="166" fontId="6" fillId="4" borderId="0" xfId="3" applyFont="1" applyFill="1" applyAlignment="1">
      <alignment vertical="center"/>
    </xf>
    <xf numFmtId="166" fontId="5" fillId="4" borderId="0" xfId="3" applyFont="1" applyFill="1" applyAlignment="1">
      <alignment vertical="center"/>
    </xf>
    <xf numFmtId="166" fontId="0" fillId="4" borderId="0" xfId="3" applyFont="1" applyFill="1" applyBorder="1" applyAlignment="1">
      <alignment vertical="center"/>
    </xf>
    <xf numFmtId="166" fontId="3" fillId="4" borderId="11" xfId="3" applyFont="1" applyFill="1" applyBorder="1" applyAlignment="1">
      <alignment vertical="center"/>
    </xf>
    <xf numFmtId="166" fontId="3" fillId="4" borderId="9" xfId="3" applyFont="1" applyFill="1" applyBorder="1" applyAlignment="1">
      <alignment vertical="center"/>
    </xf>
    <xf numFmtId="166" fontId="0" fillId="4" borderId="9" xfId="3" applyFont="1" applyFill="1" applyBorder="1" applyAlignment="1">
      <alignment vertical="center"/>
    </xf>
    <xf numFmtId="166" fontId="3" fillId="4" borderId="6" xfId="3" applyFon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29" xfId="0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166" fontId="13" fillId="4" borderId="17" xfId="3" applyFont="1" applyFill="1" applyBorder="1" applyAlignment="1">
      <alignment horizontal="center" vertical="center"/>
    </xf>
    <xf numFmtId="166" fontId="6" fillId="4" borderId="2" xfId="3" applyFont="1" applyFill="1" applyBorder="1" applyAlignment="1">
      <alignment horizontal="center" vertical="center"/>
    </xf>
    <xf numFmtId="166" fontId="6" fillId="4" borderId="1" xfId="3" applyFont="1" applyFill="1" applyBorder="1" applyAlignment="1">
      <alignment horizontal="center" vertical="center"/>
    </xf>
    <xf numFmtId="166" fontId="3" fillId="4" borderId="0" xfId="3" applyFont="1" applyFill="1" applyAlignment="1">
      <alignment horizontal="center" vertical="center"/>
    </xf>
    <xf numFmtId="166" fontId="6" fillId="4" borderId="0" xfId="3" applyFont="1" applyFill="1" applyAlignment="1">
      <alignment horizontal="right" vertical="center"/>
    </xf>
    <xf numFmtId="166" fontId="3" fillId="4" borderId="9" xfId="3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6" fontId="6" fillId="4" borderId="1" xfId="3" applyNumberFormat="1" applyFont="1" applyFill="1" applyBorder="1" applyAlignment="1">
      <alignment horizontal="center" vertical="center"/>
    </xf>
    <xf numFmtId="166" fontId="6" fillId="4" borderId="6" xfId="3" applyFont="1" applyFill="1" applyBorder="1" applyAlignment="1">
      <alignment vertical="center"/>
    </xf>
    <xf numFmtId="166" fontId="3" fillId="4" borderId="54" xfId="3" applyFont="1" applyFill="1" applyBorder="1" applyAlignment="1">
      <alignment horizontal="center" vertical="center"/>
    </xf>
    <xf numFmtId="166" fontId="3" fillId="4" borderId="1" xfId="3" applyFont="1" applyFill="1" applyBorder="1" applyAlignment="1">
      <alignment horizontal="center" vertical="center"/>
    </xf>
    <xf numFmtId="168" fontId="6" fillId="4" borderId="2" xfId="3" applyNumberFormat="1" applyFont="1" applyFill="1" applyBorder="1" applyAlignment="1">
      <alignment horizontal="center" vertical="center"/>
    </xf>
    <xf numFmtId="168" fontId="6" fillId="4" borderId="1" xfId="3" applyNumberFormat="1" applyFont="1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center" vertical="center"/>
    </xf>
    <xf numFmtId="166" fontId="3" fillId="4" borderId="0" xfId="3" applyFont="1" applyFill="1" applyBorder="1" applyAlignment="1">
      <alignment vertical="center"/>
    </xf>
    <xf numFmtId="166" fontId="12" fillId="4" borderId="1" xfId="3" applyFont="1" applyFill="1" applyBorder="1" applyAlignment="1">
      <alignment horizontal="center" vertical="center"/>
    </xf>
    <xf numFmtId="166" fontId="1" fillId="4" borderId="1" xfId="3" applyFont="1" applyFill="1" applyBorder="1" applyAlignment="1">
      <alignment horizontal="center" vertical="center"/>
    </xf>
    <xf numFmtId="166" fontId="4" fillId="4" borderId="0" xfId="3" applyFont="1" applyFill="1" applyBorder="1" applyAlignment="1">
      <alignment vertical="center"/>
    </xf>
    <xf numFmtId="166" fontId="6" fillId="4" borderId="9" xfId="3" applyNumberFormat="1" applyFont="1" applyFill="1" applyBorder="1" applyAlignment="1">
      <alignment vertical="center"/>
    </xf>
    <xf numFmtId="166" fontId="3" fillId="4" borderId="35" xfId="3" applyFont="1" applyFill="1" applyBorder="1" applyAlignment="1">
      <alignment vertical="center"/>
    </xf>
    <xf numFmtId="169" fontId="3" fillId="4" borderId="1" xfId="0" applyNumberFormat="1" applyFont="1" applyFill="1" applyBorder="1" applyAlignment="1">
      <alignment vertical="center"/>
    </xf>
    <xf numFmtId="169" fontId="0" fillId="4" borderId="1" xfId="0" applyNumberFormat="1" applyFill="1" applyBorder="1" applyAlignment="1">
      <alignment vertical="center"/>
    </xf>
    <xf numFmtId="169" fontId="3" fillId="4" borderId="36" xfId="0" applyNumberFormat="1" applyFont="1" applyFill="1" applyBorder="1" applyAlignment="1">
      <alignment vertical="center"/>
    </xf>
    <xf numFmtId="165" fontId="3" fillId="4" borderId="34" xfId="0" applyNumberFormat="1" applyFont="1" applyFill="1" applyBorder="1" applyAlignment="1">
      <alignment vertical="center"/>
    </xf>
    <xf numFmtId="166" fontId="3" fillId="4" borderId="13" xfId="3" applyFont="1" applyFill="1" applyBorder="1" applyAlignment="1">
      <alignment horizontal="right" vertical="center"/>
    </xf>
    <xf numFmtId="1" fontId="6" fillId="4" borderId="12" xfId="3" applyNumberFormat="1" applyFont="1" applyFill="1" applyBorder="1" applyAlignment="1">
      <alignment horizontal="center" vertical="center"/>
    </xf>
    <xf numFmtId="1" fontId="6" fillId="4" borderId="20" xfId="3" applyNumberFormat="1" applyFont="1" applyFill="1" applyBorder="1" applyAlignment="1">
      <alignment horizontal="center" vertical="center"/>
    </xf>
    <xf numFmtId="1" fontId="3" fillId="4" borderId="31" xfId="3" applyNumberFormat="1" applyFont="1" applyFill="1" applyBorder="1" applyAlignment="1">
      <alignment horizontal="center" vertical="center"/>
    </xf>
    <xf numFmtId="166" fontId="6" fillId="4" borderId="39" xfId="3" applyFont="1" applyFill="1" applyBorder="1" applyAlignment="1">
      <alignment vertical="center"/>
    </xf>
    <xf numFmtId="167" fontId="6" fillId="4" borderId="0" xfId="3" applyNumberFormat="1" applyFont="1" applyFill="1" applyBorder="1" applyAlignment="1">
      <alignment horizontal="center" vertical="center"/>
    </xf>
    <xf numFmtId="167" fontId="3" fillId="4" borderId="0" xfId="3" applyNumberFormat="1" applyFont="1" applyFill="1" applyBorder="1" applyAlignment="1">
      <alignment horizontal="center" vertical="center"/>
    </xf>
    <xf numFmtId="166" fontId="3" fillId="4" borderId="3" xfId="3" applyFont="1" applyFill="1" applyBorder="1" applyAlignment="1">
      <alignment horizontal="center" vertical="center"/>
    </xf>
    <xf numFmtId="166" fontId="6" fillId="4" borderId="1" xfId="3" applyFont="1" applyFill="1" applyBorder="1" applyAlignment="1">
      <alignment vertical="center"/>
    </xf>
    <xf numFmtId="166" fontId="3" fillId="4" borderId="7" xfId="3" applyFont="1" applyFill="1" applyBorder="1" applyAlignment="1">
      <alignment vertical="center"/>
    </xf>
    <xf numFmtId="166" fontId="6" fillId="4" borderId="7" xfId="3" applyFont="1" applyFill="1" applyBorder="1" applyAlignment="1">
      <alignment vertical="center"/>
    </xf>
    <xf numFmtId="166" fontId="13" fillId="4" borderId="33" xfId="3" applyFont="1" applyFill="1" applyBorder="1" applyAlignment="1">
      <alignment horizontal="center" vertical="center"/>
    </xf>
    <xf numFmtId="166" fontId="6" fillId="4" borderId="10" xfId="3" applyFont="1" applyFill="1" applyBorder="1" applyAlignment="1">
      <alignment vertical="center"/>
    </xf>
    <xf numFmtId="166" fontId="3" fillId="4" borderId="7" xfId="3" applyFont="1" applyFill="1" applyBorder="1" applyAlignment="1">
      <alignment horizontal="right" vertical="center"/>
    </xf>
    <xf numFmtId="166" fontId="0" fillId="4" borderId="39" xfId="3" applyFont="1" applyFill="1" applyBorder="1" applyAlignment="1">
      <alignment vertical="center"/>
    </xf>
    <xf numFmtId="166" fontId="3" fillId="4" borderId="12" xfId="3" applyFont="1" applyFill="1" applyBorder="1" applyAlignment="1">
      <alignment horizontal="center" vertical="center"/>
    </xf>
    <xf numFmtId="10" fontId="3" fillId="4" borderId="15" xfId="2" applyNumberFormat="1" applyFont="1" applyFill="1" applyBorder="1" applyAlignment="1">
      <alignment vertical="center"/>
    </xf>
    <xf numFmtId="10" fontId="0" fillId="4" borderId="15" xfId="2" applyNumberFormat="1" applyFont="1" applyFill="1" applyBorder="1" applyAlignment="1">
      <alignment vertical="center"/>
    </xf>
    <xf numFmtId="10" fontId="6" fillId="4" borderId="15" xfId="2" applyNumberFormat="1" applyFont="1" applyFill="1" applyBorder="1" applyAlignment="1">
      <alignment vertical="center"/>
    </xf>
    <xf numFmtId="9" fontId="3" fillId="4" borderId="18" xfId="2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166" fontId="13" fillId="4" borderId="18" xfId="3" applyFont="1" applyFill="1" applyBorder="1" applyAlignment="1">
      <alignment horizontal="center" vertical="center"/>
    </xf>
    <xf numFmtId="166" fontId="3" fillId="4" borderId="7" xfId="3" applyFont="1" applyFill="1" applyBorder="1" applyAlignment="1">
      <alignment horizontal="center" vertical="center"/>
    </xf>
    <xf numFmtId="166" fontId="3" fillId="4" borderId="0" xfId="3" applyFont="1" applyFill="1" applyAlignment="1">
      <alignment vertical="center"/>
    </xf>
    <xf numFmtId="166" fontId="3" fillId="4" borderId="0" xfId="3" applyFont="1" applyFill="1" applyBorder="1" applyAlignment="1">
      <alignment horizontal="center" vertical="center"/>
    </xf>
    <xf numFmtId="166" fontId="3" fillId="4" borderId="4" xfId="3" applyFont="1" applyFill="1" applyBorder="1" applyAlignment="1">
      <alignment vertical="center"/>
    </xf>
    <xf numFmtId="166" fontId="6" fillId="4" borderId="0" xfId="3" applyFont="1" applyFill="1"/>
    <xf numFmtId="166" fontId="3" fillId="4" borderId="4" xfId="3" applyFont="1" applyFill="1" applyBorder="1" applyAlignment="1">
      <alignment horizontal="center" vertical="center"/>
    </xf>
    <xf numFmtId="166" fontId="6" fillId="4" borderId="0" xfId="3" applyFont="1" applyFill="1" applyAlignment="1">
      <alignment horizontal="center" vertical="center"/>
    </xf>
    <xf numFmtId="166" fontId="6" fillId="4" borderId="0" xfId="3" applyFont="1" applyFill="1" applyBorder="1" applyAlignment="1">
      <alignment horizontal="center" vertical="center"/>
    </xf>
    <xf numFmtId="166" fontId="3" fillId="4" borderId="4" xfId="3" applyNumberFormat="1" applyFont="1" applyFill="1" applyBorder="1" applyAlignment="1">
      <alignment horizontal="center" vertical="center"/>
    </xf>
    <xf numFmtId="166" fontId="1" fillId="4" borderId="0" xfId="3" applyFont="1" applyFill="1" applyBorder="1" applyAlignment="1">
      <alignment horizontal="center" vertical="center"/>
    </xf>
    <xf numFmtId="166" fontId="3" fillId="4" borderId="4" xfId="3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1" xfId="3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67" fontId="6" fillId="4" borderId="1" xfId="3" applyNumberFormat="1" applyFont="1" applyFill="1" applyBorder="1" applyAlignment="1">
      <alignment horizontal="center" vertical="center"/>
    </xf>
    <xf numFmtId="167" fontId="6" fillId="4" borderId="1" xfId="3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 wrapText="1"/>
    </xf>
    <xf numFmtId="13" fontId="6" fillId="4" borderId="1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67" fontId="3" fillId="4" borderId="1" xfId="3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74" fontId="6" fillId="4" borderId="1" xfId="0" applyNumberFormat="1" applyFont="1" applyFill="1" applyBorder="1" applyAlignment="1">
      <alignment horizontal="center" vertical="center"/>
    </xf>
    <xf numFmtId="166" fontId="4" fillId="4" borderId="0" xfId="3" applyFont="1" applyFill="1" applyAlignment="1">
      <alignment vertical="center"/>
    </xf>
    <xf numFmtId="4" fontId="6" fillId="4" borderId="0" xfId="0" applyNumberFormat="1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166" fontId="3" fillId="0" borderId="9" xfId="3" applyFont="1" applyBorder="1" applyAlignment="1">
      <alignment horizontal="left" vertical="center"/>
    </xf>
    <xf numFmtId="0" fontId="17" fillId="7" borderId="25" xfId="0" applyFont="1" applyFill="1" applyBorder="1" applyAlignment="1">
      <alignment horizontal="center" vertical="center"/>
    </xf>
    <xf numFmtId="0" fontId="17" fillId="7" borderId="26" xfId="0" applyFont="1" applyFill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1" xfId="3" applyFont="1" applyBorder="1" applyAlignment="1">
      <alignment horizontal="center" vertical="center"/>
    </xf>
    <xf numFmtId="166" fontId="4" fillId="7" borderId="5" xfId="3" applyFont="1" applyFill="1" applyBorder="1" applyAlignment="1">
      <alignment horizontal="center" vertical="center"/>
    </xf>
    <xf numFmtId="166" fontId="4" fillId="7" borderId="6" xfId="3" applyFont="1" applyFill="1" applyBorder="1" applyAlignment="1">
      <alignment horizontal="center" vertical="center"/>
    </xf>
    <xf numFmtId="166" fontId="4" fillId="7" borderId="7" xfId="3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9" borderId="19" xfId="0" applyFont="1" applyFill="1" applyBorder="1" applyAlignment="1">
      <alignment horizontal="center"/>
    </xf>
    <xf numFmtId="0" fontId="17" fillId="9" borderId="44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9" fontId="7" fillId="0" borderId="21" xfId="2" applyFont="1" applyBorder="1" applyAlignment="1">
      <alignment horizontal="center"/>
    </xf>
    <xf numFmtId="9" fontId="7" fillId="0" borderId="22" xfId="2" applyFont="1" applyBorder="1" applyAlignment="1">
      <alignment horizontal="center"/>
    </xf>
    <xf numFmtId="9" fontId="7" fillId="0" borderId="12" xfId="2" applyFont="1" applyBorder="1" applyAlignment="1">
      <alignment horizontal="center"/>
    </xf>
    <xf numFmtId="0" fontId="4" fillId="9" borderId="25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/>
    </xf>
    <xf numFmtId="0" fontId="17" fillId="9" borderId="22" xfId="0" applyFont="1" applyFill="1" applyBorder="1" applyAlignment="1">
      <alignment horizontal="center"/>
    </xf>
    <xf numFmtId="0" fontId="17" fillId="9" borderId="12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1002665</xdr:colOff>
      <xdr:row>0</xdr:row>
      <xdr:rowOff>0</xdr:rowOff>
    </xdr:to>
    <xdr:pic>
      <xdr:nvPicPr>
        <xdr:cNvPr id="2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02665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1002665</xdr:colOff>
      <xdr:row>4</xdr:row>
      <xdr:rowOff>0</xdr:rowOff>
    </xdr:to>
    <xdr:pic>
      <xdr:nvPicPr>
        <xdr:cNvPr id="3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02665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66"/>
  <sheetViews>
    <sheetView tabSelected="1" view="pageBreakPreview" topLeftCell="A7" zoomScaleNormal="100" zoomScaleSheetLayoutView="100" workbookViewId="0">
      <selection activeCell="A49" sqref="A49"/>
    </sheetView>
  </sheetViews>
  <sheetFormatPr defaultColWidth="9.109375" defaultRowHeight="13.2" x14ac:dyDescent="0.25"/>
  <cols>
    <col min="1" max="1" width="44.5546875" style="7" customWidth="1"/>
    <col min="2" max="2" width="16" style="183" bestFit="1" customWidth="1"/>
    <col min="3" max="3" width="13.44140625" style="183" customWidth="1"/>
    <col min="4" max="4" width="14.6640625" style="220" customWidth="1"/>
    <col min="5" max="5" width="15.44140625" style="220" customWidth="1"/>
    <col min="6" max="6" width="13.33203125" style="220" customWidth="1"/>
    <col min="7" max="7" width="28.109375" style="8" customWidth="1"/>
    <col min="8" max="8" width="9.109375" style="7"/>
    <col min="9" max="9" width="14.5546875" style="7" customWidth="1"/>
    <col min="10" max="10" width="13.44140625" style="7" customWidth="1"/>
    <col min="11" max="16384" width="9.109375" style="7"/>
  </cols>
  <sheetData>
    <row r="1" spans="1:7" x14ac:dyDescent="0.25">
      <c r="A1" s="275"/>
    </row>
    <row r="2" spans="1:7" x14ac:dyDescent="0.25">
      <c r="A2" s="306"/>
    </row>
    <row r="3" spans="1:7" s="3" customFormat="1" ht="15.6" customHeight="1" x14ac:dyDescent="0.25">
      <c r="A3" s="183"/>
      <c r="B3" s="184"/>
      <c r="C3" s="185"/>
      <c r="D3" s="185"/>
      <c r="E3" s="185"/>
      <c r="F3" s="185"/>
      <c r="G3" s="4"/>
    </row>
    <row r="4" spans="1:7" s="3" customFormat="1" ht="15.6" customHeight="1" thickBot="1" x14ac:dyDescent="0.3">
      <c r="A4" s="306"/>
      <c r="B4" s="185"/>
      <c r="C4" s="185"/>
      <c r="D4" s="185"/>
      <c r="E4" s="185"/>
      <c r="F4" s="185"/>
      <c r="G4" s="4"/>
    </row>
    <row r="5" spans="1:7" s="6" customFormat="1" ht="17.399999999999999" x14ac:dyDescent="0.25">
      <c r="A5" s="311" t="s">
        <v>352</v>
      </c>
      <c r="B5" s="312"/>
      <c r="C5" s="312"/>
      <c r="D5" s="312"/>
      <c r="E5" s="312"/>
      <c r="F5" s="313"/>
      <c r="G5" s="14"/>
    </row>
    <row r="6" spans="1:7" s="6" customFormat="1" ht="21.75" customHeight="1" x14ac:dyDescent="0.25">
      <c r="A6" s="314" t="s">
        <v>45</v>
      </c>
      <c r="B6" s="315"/>
      <c r="C6" s="315"/>
      <c r="D6" s="315"/>
      <c r="E6" s="315"/>
      <c r="F6" s="316"/>
      <c r="G6" s="14"/>
    </row>
    <row r="7" spans="1:7" s="3" customFormat="1" ht="10.95" customHeight="1" thickBot="1" x14ac:dyDescent="0.3">
      <c r="A7" s="48"/>
      <c r="B7" s="185"/>
      <c r="C7" s="185"/>
      <c r="D7" s="222"/>
      <c r="E7" s="222"/>
      <c r="F7" s="269"/>
      <c r="G7" s="4"/>
    </row>
    <row r="8" spans="1:7" s="3" customFormat="1" ht="15.75" customHeight="1" thickBot="1" x14ac:dyDescent="0.3">
      <c r="A8" s="320" t="s">
        <v>210</v>
      </c>
      <c r="B8" s="321"/>
      <c r="C8" s="321"/>
      <c r="D8" s="321"/>
      <c r="E8" s="321"/>
      <c r="F8" s="322"/>
      <c r="G8" s="4"/>
    </row>
    <row r="9" spans="1:7" s="3" customFormat="1" ht="15.75" customHeight="1" x14ac:dyDescent="0.25">
      <c r="A9" s="24" t="s">
        <v>209</v>
      </c>
      <c r="B9" s="186"/>
      <c r="C9" s="186"/>
      <c r="D9" s="223"/>
      <c r="E9" s="250" t="s">
        <v>40</v>
      </c>
      <c r="F9" s="270" t="s">
        <v>2</v>
      </c>
      <c r="G9" s="4"/>
    </row>
    <row r="10" spans="1:7" s="9" customFormat="1" ht="15.75" customHeight="1" x14ac:dyDescent="0.25">
      <c r="A10" s="39" t="str">
        <f>A70</f>
        <v>1. Mão-de-obra</v>
      </c>
      <c r="B10" s="187"/>
      <c r="C10" s="224"/>
      <c r="D10" s="224"/>
      <c r="E10" s="251">
        <f>+F211</f>
        <v>1868.4293200000002</v>
      </c>
      <c r="F10" s="271">
        <f t="shared" ref="F10:F36" si="0">IFERROR(E10/$E$48,0)</f>
        <v>6.5453531222262329E-2</v>
      </c>
      <c r="G10" s="17"/>
    </row>
    <row r="11" spans="1:7" s="3" customFormat="1" ht="15.75" hidden="1" customHeight="1" x14ac:dyDescent="0.25">
      <c r="A11" s="18" t="str">
        <f>A72</f>
        <v>1.1. Coletor Turno Dia</v>
      </c>
      <c r="B11" s="188"/>
      <c r="C11" s="225"/>
      <c r="D11" s="225"/>
      <c r="E11" s="252">
        <f>F83</f>
        <v>0</v>
      </c>
      <c r="F11" s="272">
        <f t="shared" si="0"/>
        <v>0</v>
      </c>
      <c r="G11" s="4"/>
    </row>
    <row r="12" spans="1:7" s="3" customFormat="1" ht="15.75" hidden="1" customHeight="1" x14ac:dyDescent="0.25">
      <c r="A12" s="18" t="str">
        <f>A85</f>
        <v>1.2. Reciclador</v>
      </c>
      <c r="B12" s="188"/>
      <c r="C12" s="225"/>
      <c r="D12" s="225"/>
      <c r="E12" s="252">
        <f>F102</f>
        <v>0</v>
      </c>
      <c r="F12" s="272">
        <f t="shared" si="0"/>
        <v>0</v>
      </c>
      <c r="G12" s="4"/>
    </row>
    <row r="13" spans="1:7" s="3" customFormat="1" ht="15.75" hidden="1" customHeight="1" x14ac:dyDescent="0.25">
      <c r="A13" s="18" t="str">
        <f>A105</f>
        <v>1.4. Motorista Turno Noite</v>
      </c>
      <c r="B13" s="188"/>
      <c r="C13" s="225"/>
      <c r="D13" s="225"/>
      <c r="E13" s="252" t="e">
        <f>F124</f>
        <v>#REF!</v>
      </c>
      <c r="F13" s="272">
        <f t="shared" si="0"/>
        <v>0</v>
      </c>
      <c r="G13" s="4"/>
    </row>
    <row r="14" spans="1:7" s="3" customFormat="1" ht="15.75" hidden="1" customHeight="1" x14ac:dyDescent="0.25">
      <c r="A14" s="18" t="str">
        <f>A126</f>
        <v>1.4. Encarregado</v>
      </c>
      <c r="B14" s="188"/>
      <c r="C14" s="225"/>
      <c r="D14" s="225"/>
      <c r="E14" s="252">
        <f>F139</f>
        <v>0</v>
      </c>
      <c r="F14" s="272">
        <f t="shared" si="0"/>
        <v>0</v>
      </c>
      <c r="G14" s="4"/>
    </row>
    <row r="15" spans="1:7" s="3" customFormat="1" ht="15.75" customHeight="1" x14ac:dyDescent="0.25">
      <c r="A15" s="18" t="str">
        <f>A141</f>
        <v>1.2. Motorista Carreta</v>
      </c>
      <c r="B15" s="188"/>
      <c r="C15" s="225"/>
      <c r="D15" s="225"/>
      <c r="E15" s="252">
        <f>F154</f>
        <v>1659.5093200000001</v>
      </c>
      <c r="F15" s="272">
        <f t="shared" si="0"/>
        <v>5.813478943386273E-2</v>
      </c>
      <c r="G15" s="4"/>
    </row>
    <row r="16" spans="1:7" s="3" customFormat="1" ht="15.75" hidden="1" customHeight="1" x14ac:dyDescent="0.25">
      <c r="A16" s="18" t="str">
        <f>A156</f>
        <v>1.7. Responsavel Tecnico</v>
      </c>
      <c r="B16" s="188"/>
      <c r="C16" s="225"/>
      <c r="D16" s="225"/>
      <c r="E16" s="252">
        <f>F169</f>
        <v>0</v>
      </c>
      <c r="F16" s="272">
        <f t="shared" si="0"/>
        <v>0</v>
      </c>
      <c r="G16" s="4"/>
    </row>
    <row r="17" spans="1:7" s="3" customFormat="1" ht="15.75" hidden="1" customHeight="1" x14ac:dyDescent="0.25">
      <c r="A17" s="18" t="str">
        <f>A171</f>
        <v>1.8. Tecnico de Segurança do Trabalho</v>
      </c>
      <c r="B17" s="188"/>
      <c r="C17" s="225"/>
      <c r="D17" s="225"/>
      <c r="E17" s="252">
        <f>F184</f>
        <v>0</v>
      </c>
      <c r="F17" s="272">
        <f t="shared" si="0"/>
        <v>0</v>
      </c>
      <c r="G17" s="4"/>
    </row>
    <row r="18" spans="1:7" s="3" customFormat="1" ht="15.75" hidden="1" customHeight="1" x14ac:dyDescent="0.25">
      <c r="A18" s="18" t="str">
        <f>A187</f>
        <v>1.4. Vale Transporte</v>
      </c>
      <c r="B18" s="188"/>
      <c r="C18" s="225"/>
      <c r="D18" s="225"/>
      <c r="E18" s="252">
        <f>F195</f>
        <v>0</v>
      </c>
      <c r="F18" s="272">
        <f t="shared" si="0"/>
        <v>0</v>
      </c>
      <c r="G18" s="4"/>
    </row>
    <row r="19" spans="1:7" s="3" customFormat="1" ht="15.75" customHeight="1" x14ac:dyDescent="0.25">
      <c r="A19" s="18" t="str">
        <f>A197</f>
        <v>1.3. Vale-refeição (diário)</v>
      </c>
      <c r="B19" s="188"/>
      <c r="C19" s="225"/>
      <c r="D19" s="225"/>
      <c r="E19" s="252">
        <f>F203</f>
        <v>208.92000000000002</v>
      </c>
      <c r="F19" s="272">
        <f t="shared" si="0"/>
        <v>7.3187417883995983E-3</v>
      </c>
      <c r="G19" s="4"/>
    </row>
    <row r="20" spans="1:7" s="3" customFormat="1" ht="15.75" hidden="1" customHeight="1" x14ac:dyDescent="0.25">
      <c r="A20" s="18" t="str">
        <f>A205</f>
        <v>1.11. Auxílio Alimentação (mensal)</v>
      </c>
      <c r="B20" s="188"/>
      <c r="C20" s="225"/>
      <c r="D20" s="225"/>
      <c r="E20" s="252" t="e">
        <f>F209</f>
        <v>#REF!</v>
      </c>
      <c r="F20" s="272">
        <f t="shared" si="0"/>
        <v>0</v>
      </c>
      <c r="G20" s="4"/>
    </row>
    <row r="21" spans="1:7" s="9" customFormat="1" ht="15.75" customHeight="1" x14ac:dyDescent="0.25">
      <c r="A21" s="309" t="str">
        <f>A213</f>
        <v>2. Uniformes e Equipamentos de Proteção Individual</v>
      </c>
      <c r="B21" s="310"/>
      <c r="C21" s="310"/>
      <c r="D21" s="224"/>
      <c r="E21" s="251">
        <f>+F245</f>
        <v>47</v>
      </c>
      <c r="F21" s="271">
        <f t="shared" si="0"/>
        <v>1.6464716832030495E-3</v>
      </c>
      <c r="G21" s="17"/>
    </row>
    <row r="22" spans="1:7" s="9" customFormat="1" ht="15.75" customHeight="1" x14ac:dyDescent="0.25">
      <c r="A22" s="41" t="str">
        <f>A247</f>
        <v>3. Veículos e Equipamentos</v>
      </c>
      <c r="B22" s="189"/>
      <c r="C22" s="224"/>
      <c r="D22" s="224"/>
      <c r="E22" s="251">
        <f>+F472</f>
        <v>21156.823333333334</v>
      </c>
      <c r="F22" s="271">
        <f t="shared" si="0"/>
        <v>0.74115128776304007</v>
      </c>
      <c r="G22" s="17"/>
    </row>
    <row r="23" spans="1:7" s="3" customFormat="1" ht="15.75" hidden="1" customHeight="1" x14ac:dyDescent="0.25">
      <c r="A23" s="25" t="str">
        <f>A249</f>
        <v>3.1. Veículo Coletor Compactador 15 m³</v>
      </c>
      <c r="B23" s="190"/>
      <c r="C23" s="225"/>
      <c r="D23" s="225"/>
      <c r="E23" s="252">
        <f>SUM(E24:E29)</f>
        <v>0</v>
      </c>
      <c r="F23" s="273">
        <f t="shared" si="0"/>
        <v>0</v>
      </c>
      <c r="G23" s="4"/>
    </row>
    <row r="24" spans="1:7" s="3" customFormat="1" ht="15.75" hidden="1" customHeight="1" x14ac:dyDescent="0.25">
      <c r="A24" s="25" t="str">
        <f>A251</f>
        <v>3.1.1. Depreciação</v>
      </c>
      <c r="B24" s="190"/>
      <c r="C24" s="225"/>
      <c r="D24" s="225"/>
      <c r="E24" s="252">
        <f>F265</f>
        <v>0</v>
      </c>
      <c r="F24" s="273">
        <f t="shared" si="0"/>
        <v>0</v>
      </c>
      <c r="G24" s="4"/>
    </row>
    <row r="25" spans="1:7" s="3" customFormat="1" ht="15.75" hidden="1" customHeight="1" x14ac:dyDescent="0.25">
      <c r="A25" s="25" t="str">
        <f>A267</f>
        <v>3.1.2. Remuneração do Capital</v>
      </c>
      <c r="B25" s="190"/>
      <c r="C25" s="225"/>
      <c r="D25" s="225"/>
      <c r="E25" s="252">
        <f>F281</f>
        <v>0</v>
      </c>
      <c r="F25" s="273">
        <f t="shared" si="0"/>
        <v>0</v>
      </c>
      <c r="G25" s="4"/>
    </row>
    <row r="26" spans="1:7" s="3" customFormat="1" ht="15.75" hidden="1" customHeight="1" x14ac:dyDescent="0.25">
      <c r="A26" s="25" t="str">
        <f>A283</f>
        <v>3.1.3. Impostos e Seguros</v>
      </c>
      <c r="B26" s="190"/>
      <c r="C26" s="225"/>
      <c r="D26" s="225"/>
      <c r="E26" s="252">
        <f>F289</f>
        <v>0</v>
      </c>
      <c r="F26" s="273">
        <f t="shared" si="0"/>
        <v>0</v>
      </c>
      <c r="G26" s="4"/>
    </row>
    <row r="27" spans="1:7" s="3" customFormat="1" ht="15.75" hidden="1" customHeight="1" x14ac:dyDescent="0.25">
      <c r="A27" s="25" t="str">
        <f>A291</f>
        <v>3.1.4. Consumos</v>
      </c>
      <c r="B27" s="190"/>
      <c r="C27" s="225"/>
      <c r="D27" s="225"/>
      <c r="E27" s="252">
        <f>F307</f>
        <v>0</v>
      </c>
      <c r="F27" s="273">
        <f t="shared" si="0"/>
        <v>0</v>
      </c>
      <c r="G27" s="4"/>
    </row>
    <row r="28" spans="1:7" s="3" customFormat="1" ht="15.75" hidden="1" customHeight="1" x14ac:dyDescent="0.25">
      <c r="A28" s="25" t="str">
        <f>A309</f>
        <v>3.1.5. Manutenção</v>
      </c>
      <c r="B28" s="190"/>
      <c r="C28" s="225"/>
      <c r="D28" s="225"/>
      <c r="E28" s="252">
        <f>F312</f>
        <v>0</v>
      </c>
      <c r="F28" s="273">
        <f t="shared" si="0"/>
        <v>0</v>
      </c>
      <c r="G28" s="4"/>
    </row>
    <row r="29" spans="1:7" s="3" customFormat="1" ht="15.75" hidden="1" customHeight="1" x14ac:dyDescent="0.25">
      <c r="A29" s="25" t="str">
        <f>A314</f>
        <v>3.1.6. Pneus</v>
      </c>
      <c r="B29" s="190"/>
      <c r="C29" s="225"/>
      <c r="D29" s="225"/>
      <c r="E29" s="252">
        <f>F321</f>
        <v>0</v>
      </c>
      <c r="F29" s="273">
        <f t="shared" si="0"/>
        <v>0</v>
      </c>
      <c r="G29" s="4"/>
    </row>
    <row r="30" spans="1:7" s="3" customFormat="1" ht="15.75" customHeight="1" x14ac:dyDescent="0.25">
      <c r="A30" s="25" t="str">
        <f>A323</f>
        <v>3.1. Veículo Caminhao Roll On Off</v>
      </c>
      <c r="B30" s="190"/>
      <c r="C30" s="225"/>
      <c r="D30" s="225"/>
      <c r="E30" s="252">
        <f>SUM(E31:E36)</f>
        <v>21156.823333333334</v>
      </c>
      <c r="F30" s="273">
        <f t="shared" si="0"/>
        <v>0.74115128776304007</v>
      </c>
      <c r="G30" s="4"/>
    </row>
    <row r="31" spans="1:7" s="3" customFormat="1" ht="15.75" customHeight="1" x14ac:dyDescent="0.25">
      <c r="A31" s="25" t="str">
        <f>A325</f>
        <v>3.1.1. Depreciação</v>
      </c>
      <c r="B31" s="190"/>
      <c r="C31" s="225"/>
      <c r="D31" s="225"/>
      <c r="E31" s="252">
        <f>F339</f>
        <v>1039.3599999999999</v>
      </c>
      <c r="F31" s="273">
        <f t="shared" si="0"/>
        <v>3.6410144864977047E-2</v>
      </c>
      <c r="G31" s="4"/>
    </row>
    <row r="32" spans="1:7" s="3" customFormat="1" ht="15.75" customHeight="1" x14ac:dyDescent="0.25">
      <c r="A32" s="25" t="str">
        <f>A341</f>
        <v>3.1.2. Remuneração do Capital</v>
      </c>
      <c r="B32" s="190"/>
      <c r="C32" s="225"/>
      <c r="D32" s="225"/>
      <c r="E32" s="252">
        <f>F355</f>
        <v>435.27680000000004</v>
      </c>
      <c r="F32" s="273">
        <f t="shared" si="0"/>
        <v>1.5248317565005045E-2</v>
      </c>
      <c r="G32" s="4"/>
    </row>
    <row r="33" spans="1:7" s="3" customFormat="1" ht="15.75" customHeight="1" x14ac:dyDescent="0.25">
      <c r="A33" s="25" t="str">
        <f>A357</f>
        <v>3.1.3. Impostos e Seguros</v>
      </c>
      <c r="B33" s="190"/>
      <c r="C33" s="225"/>
      <c r="D33" s="225"/>
      <c r="E33" s="252">
        <f>F363</f>
        <v>88.333333333333343</v>
      </c>
      <c r="F33" s="273">
        <f t="shared" si="0"/>
        <v>3.094432596090838E-3</v>
      </c>
      <c r="G33" s="4"/>
    </row>
    <row r="34" spans="1:7" s="3" customFormat="1" ht="15.75" customHeight="1" x14ac:dyDescent="0.25">
      <c r="A34" s="25" t="str">
        <f>A365</f>
        <v>3.1.4. Consumos</v>
      </c>
      <c r="B34" s="190"/>
      <c r="C34" s="225"/>
      <c r="D34" s="225"/>
      <c r="E34" s="252">
        <f>F381</f>
        <v>10234.333199999999</v>
      </c>
      <c r="F34" s="273">
        <f t="shared" si="0"/>
        <v>0.3585221236226564</v>
      </c>
      <c r="G34" s="4"/>
    </row>
    <row r="35" spans="1:7" s="3" customFormat="1" ht="15.75" customHeight="1" x14ac:dyDescent="0.25">
      <c r="A35" s="25" t="str">
        <f>A383</f>
        <v>3.1.5. Manutenção</v>
      </c>
      <c r="B35" s="190"/>
      <c r="C35" s="225"/>
      <c r="D35" s="225"/>
      <c r="E35" s="252">
        <f>F386</f>
        <v>4573.2</v>
      </c>
      <c r="F35" s="273">
        <f t="shared" si="0"/>
        <v>0.16020519790689755</v>
      </c>
      <c r="G35" s="4"/>
    </row>
    <row r="36" spans="1:7" s="3" customFormat="1" ht="15.75" customHeight="1" x14ac:dyDescent="0.25">
      <c r="A36" s="25" t="str">
        <f>A388</f>
        <v>3.1.6. Pneus</v>
      </c>
      <c r="B36" s="190"/>
      <c r="C36" s="225"/>
      <c r="D36" s="225"/>
      <c r="E36" s="252">
        <f>F395</f>
        <v>4786.3200000000006</v>
      </c>
      <c r="F36" s="273">
        <f t="shared" si="0"/>
        <v>0.1676710712074132</v>
      </c>
      <c r="G36" s="4"/>
    </row>
    <row r="37" spans="1:7" s="3" customFormat="1" ht="15.75" hidden="1" customHeight="1" x14ac:dyDescent="0.25">
      <c r="A37" s="25" t="str">
        <f>A397</f>
        <v>3.2. Veículo Coletor Bau (Coleta Seletiva)</v>
      </c>
      <c r="B37" s="190"/>
      <c r="C37" s="225"/>
      <c r="D37" s="225"/>
      <c r="E37" s="252">
        <f>SUM(E38:E43)</f>
        <v>0</v>
      </c>
      <c r="F37" s="273">
        <f t="shared" ref="F37:F43" si="1">IFERROR(E37/$E$48,0)</f>
        <v>0</v>
      </c>
      <c r="G37" s="4"/>
    </row>
    <row r="38" spans="1:7" s="3" customFormat="1" ht="15.75" hidden="1" customHeight="1" x14ac:dyDescent="0.25">
      <c r="A38" s="25" t="str">
        <f>A399</f>
        <v>3.2.1. Depreciação</v>
      </c>
      <c r="B38" s="190"/>
      <c r="C38" s="225"/>
      <c r="D38" s="225"/>
      <c r="E38" s="252">
        <f>F413</f>
        <v>0</v>
      </c>
      <c r="F38" s="273">
        <f t="shared" si="1"/>
        <v>0</v>
      </c>
      <c r="G38" s="4"/>
    </row>
    <row r="39" spans="1:7" s="3" customFormat="1" ht="15.75" hidden="1" customHeight="1" x14ac:dyDescent="0.25">
      <c r="A39" s="25" t="str">
        <f>A415</f>
        <v>3.2.2. Remuneração do Capital</v>
      </c>
      <c r="B39" s="190"/>
      <c r="C39" s="225"/>
      <c r="D39" s="225"/>
      <c r="E39" s="252">
        <f>F429</f>
        <v>0</v>
      </c>
      <c r="F39" s="273">
        <f t="shared" si="1"/>
        <v>0</v>
      </c>
      <c r="G39" s="4"/>
    </row>
    <row r="40" spans="1:7" s="3" customFormat="1" ht="15.75" hidden="1" customHeight="1" x14ac:dyDescent="0.25">
      <c r="A40" s="25" t="str">
        <f>A431</f>
        <v>3.2.3. Impostos e Seguros</v>
      </c>
      <c r="B40" s="190"/>
      <c r="C40" s="225"/>
      <c r="D40" s="225"/>
      <c r="E40" s="252">
        <f>F437</f>
        <v>0</v>
      </c>
      <c r="F40" s="273">
        <f t="shared" si="1"/>
        <v>0</v>
      </c>
      <c r="G40" s="4"/>
    </row>
    <row r="41" spans="1:7" s="3" customFormat="1" ht="15.75" hidden="1" customHeight="1" x14ac:dyDescent="0.25">
      <c r="A41" s="25" t="str">
        <f>A439</f>
        <v>3.2.4. Consumos</v>
      </c>
      <c r="B41" s="190"/>
      <c r="C41" s="225"/>
      <c r="D41" s="225"/>
      <c r="E41" s="252">
        <f>F455</f>
        <v>0</v>
      </c>
      <c r="F41" s="273">
        <f t="shared" si="1"/>
        <v>0</v>
      </c>
      <c r="G41" s="4"/>
    </row>
    <row r="42" spans="1:7" s="3" customFormat="1" ht="15.75" hidden="1" customHeight="1" x14ac:dyDescent="0.25">
      <c r="A42" s="25" t="str">
        <f>A457</f>
        <v>3.2.3.  Manutenção</v>
      </c>
      <c r="B42" s="190"/>
      <c r="C42" s="225"/>
      <c r="D42" s="225"/>
      <c r="E42" s="252">
        <f>F460</f>
        <v>0</v>
      </c>
      <c r="F42" s="273">
        <f t="shared" si="1"/>
        <v>0</v>
      </c>
      <c r="G42" s="4"/>
    </row>
    <row r="43" spans="1:7" s="3" customFormat="1" ht="15.75" hidden="1" customHeight="1" x14ac:dyDescent="0.25">
      <c r="A43" s="25" t="str">
        <f>A462</f>
        <v>3.2.6. Pneus</v>
      </c>
      <c r="B43" s="190"/>
      <c r="C43" s="225"/>
      <c r="D43" s="225"/>
      <c r="E43" s="252">
        <f>F469</f>
        <v>0</v>
      </c>
      <c r="F43" s="273">
        <f t="shared" si="1"/>
        <v>0</v>
      </c>
      <c r="G43" s="4"/>
    </row>
    <row r="44" spans="1:7" s="9" customFormat="1" ht="15.75" customHeight="1" x14ac:dyDescent="0.25">
      <c r="A44" s="41" t="str">
        <f>A474</f>
        <v>4. Ferramentas e Materiais de Consumo</v>
      </c>
      <c r="B44" s="189"/>
      <c r="C44" s="224"/>
      <c r="D44" s="224"/>
      <c r="E44" s="251">
        <f>+F484</f>
        <v>59.266666666666666</v>
      </c>
      <c r="F44" s="271">
        <f>IFERROR(E44/$E$48,0)</f>
        <v>2.076189115414909E-3</v>
      </c>
      <c r="G44" s="17"/>
    </row>
    <row r="45" spans="1:7" s="9" customFormat="1" ht="15.75" customHeight="1" x14ac:dyDescent="0.25">
      <c r="A45" s="41" t="str">
        <f>A486</f>
        <v>5. Monitoramento da Frota</v>
      </c>
      <c r="B45" s="189"/>
      <c r="C45" s="224"/>
      <c r="D45" s="224"/>
      <c r="E45" s="251">
        <f>+F495</f>
        <v>120</v>
      </c>
      <c r="F45" s="271">
        <f>IFERROR(E45/$E$48,0)</f>
        <v>4.2037574890290627E-3</v>
      </c>
      <c r="G45" s="17"/>
    </row>
    <row r="46" spans="1:7" s="9" customFormat="1" ht="15.75" hidden="1" customHeight="1" x14ac:dyDescent="0.25">
      <c r="A46" s="178" t="str">
        <f>A507</f>
        <v>6. Destinação Final</v>
      </c>
      <c r="B46" s="189"/>
      <c r="C46" s="224"/>
      <c r="D46" s="224"/>
      <c r="E46" s="251">
        <f>+F514</f>
        <v>0</v>
      </c>
      <c r="F46" s="271">
        <f>IFERROR(E46/$E$48,0)</f>
        <v>0</v>
      </c>
      <c r="G46" s="17"/>
    </row>
    <row r="47" spans="1:7" s="9" customFormat="1" ht="15.75" customHeight="1" thickBot="1" x14ac:dyDescent="0.3">
      <c r="A47" s="41" t="str">
        <f>A519</f>
        <v>6. Benefícios e Despesas Indiretas - BDI</v>
      </c>
      <c r="B47" s="189"/>
      <c r="C47" s="224"/>
      <c r="D47" s="224"/>
      <c r="E47" s="253">
        <f>+F525</f>
        <v>5294.3709491640002</v>
      </c>
      <c r="F47" s="271">
        <f>IFERROR(E47/$E$48,0)</f>
        <v>0.1854687627270506</v>
      </c>
      <c r="G47" s="17"/>
    </row>
    <row r="48" spans="1:7" s="3" customFormat="1" ht="15.75" customHeight="1" thickBot="1" x14ac:dyDescent="0.3">
      <c r="A48" s="16" t="s">
        <v>353</v>
      </c>
      <c r="B48" s="191"/>
      <c r="C48" s="226"/>
      <c r="D48" s="226"/>
      <c r="E48" s="254">
        <f>E10+E21+E22+E44+E45+E47+E46</f>
        <v>28545.890269164</v>
      </c>
      <c r="F48" s="274">
        <f>F10+F21+F22+F44+F45+F47+F46</f>
        <v>1</v>
      </c>
      <c r="G48" s="4"/>
    </row>
    <row r="49" spans="1:7" ht="13.8" thickBot="1" x14ac:dyDescent="0.3"/>
    <row r="50" spans="1:7" s="3" customFormat="1" ht="15" customHeight="1" thickBot="1" x14ac:dyDescent="0.3">
      <c r="A50" s="320" t="s">
        <v>101</v>
      </c>
      <c r="B50" s="321"/>
      <c r="C50" s="321"/>
      <c r="D50" s="321"/>
      <c r="E50" s="322"/>
      <c r="F50" s="220"/>
      <c r="G50" s="4"/>
    </row>
    <row r="51" spans="1:7" s="3" customFormat="1" ht="15" customHeight="1" thickBot="1" x14ac:dyDescent="0.3">
      <c r="A51" s="317" t="s">
        <v>41</v>
      </c>
      <c r="B51" s="318"/>
      <c r="C51" s="318"/>
      <c r="D51" s="319"/>
      <c r="E51" s="255" t="s">
        <v>42</v>
      </c>
      <c r="F51" s="220"/>
      <c r="G51" s="4"/>
    </row>
    <row r="52" spans="1:7" s="3" customFormat="1" ht="15" hidden="1" customHeight="1" x14ac:dyDescent="0.25">
      <c r="A52" s="28" t="str">
        <f>+A72</f>
        <v>1.1. Coletor Turno Dia</v>
      </c>
      <c r="B52" s="192"/>
      <c r="C52" s="192"/>
      <c r="D52" s="227"/>
      <c r="E52" s="256">
        <f>C82</f>
        <v>0</v>
      </c>
      <c r="F52" s="220"/>
      <c r="G52" s="4"/>
    </row>
    <row r="53" spans="1:7" s="3" customFormat="1" ht="15" hidden="1" customHeight="1" x14ac:dyDescent="0.25">
      <c r="A53" s="26" t="str">
        <f>+A85</f>
        <v>1.2. Reciclador</v>
      </c>
      <c r="B53" s="193"/>
      <c r="C53" s="193"/>
      <c r="D53" s="228"/>
      <c r="E53" s="257">
        <f>C101</f>
        <v>0</v>
      </c>
      <c r="F53" s="220"/>
      <c r="G53" s="4"/>
    </row>
    <row r="54" spans="1:7" s="3" customFormat="1" ht="15" hidden="1" customHeight="1" x14ac:dyDescent="0.25">
      <c r="A54" s="26" t="str">
        <f>+A105</f>
        <v>1.4. Motorista Turno Noite</v>
      </c>
      <c r="B54" s="193"/>
      <c r="C54" s="193"/>
      <c r="D54" s="228"/>
      <c r="E54" s="257">
        <f>C123</f>
        <v>0</v>
      </c>
      <c r="F54" s="220"/>
      <c r="G54" s="4"/>
    </row>
    <row r="55" spans="1:7" s="3" customFormat="1" ht="15" hidden="1" customHeight="1" x14ac:dyDescent="0.25">
      <c r="A55" s="26" t="str">
        <f>+A126</f>
        <v>1.4. Encarregado</v>
      </c>
      <c r="B55" s="193"/>
      <c r="C55" s="193"/>
      <c r="D55" s="228"/>
      <c r="E55" s="257">
        <f>C138</f>
        <v>0</v>
      </c>
      <c r="F55" s="220"/>
      <c r="G55" s="4"/>
    </row>
    <row r="56" spans="1:7" s="3" customFormat="1" ht="15" customHeight="1" x14ac:dyDescent="0.25">
      <c r="A56" s="26" t="str">
        <f>+A141</f>
        <v>1.2. Motorista Carreta</v>
      </c>
      <c r="B56" s="193"/>
      <c r="C56" s="193"/>
      <c r="D56" s="228"/>
      <c r="E56" s="257">
        <f>C153</f>
        <v>1</v>
      </c>
      <c r="F56" s="220"/>
      <c r="G56" s="4"/>
    </row>
    <row r="57" spans="1:7" s="3" customFormat="1" ht="15" hidden="1" customHeight="1" x14ac:dyDescent="0.25">
      <c r="A57" s="26" t="str">
        <f>+A156</f>
        <v>1.7. Responsavel Tecnico</v>
      </c>
      <c r="B57" s="193"/>
      <c r="C57" s="193"/>
      <c r="D57" s="228"/>
      <c r="E57" s="257">
        <f>C168</f>
        <v>0</v>
      </c>
      <c r="F57" s="220"/>
      <c r="G57" s="4"/>
    </row>
    <row r="58" spans="1:7" s="3" customFormat="1" ht="15" hidden="1" customHeight="1" x14ac:dyDescent="0.25">
      <c r="A58" s="26" t="str">
        <f>+A171</f>
        <v>1.8. Tecnico de Segurança do Trabalho</v>
      </c>
      <c r="B58" s="193"/>
      <c r="C58" s="193"/>
      <c r="D58" s="228"/>
      <c r="E58" s="257">
        <f>C183</f>
        <v>0</v>
      </c>
      <c r="F58" s="220"/>
      <c r="G58" s="4"/>
    </row>
    <row r="59" spans="1:7" s="3" customFormat="1" ht="15" customHeight="1" thickBot="1" x14ac:dyDescent="0.3">
      <c r="A59" s="27" t="s">
        <v>61</v>
      </c>
      <c r="B59" s="194"/>
      <c r="C59" s="194"/>
      <c r="D59" s="229"/>
      <c r="E59" s="258">
        <f>SUM(E52:E58)</f>
        <v>1</v>
      </c>
      <c r="F59" s="220"/>
      <c r="G59" s="4"/>
    </row>
    <row r="60" spans="1:7" s="3" customFormat="1" ht="15" customHeight="1" thickBot="1" x14ac:dyDescent="0.3">
      <c r="A60" s="40"/>
      <c r="B60" s="195"/>
      <c r="C60" s="196"/>
      <c r="D60" s="196"/>
      <c r="E60" s="259"/>
      <c r="F60" s="220"/>
      <c r="G60" s="4"/>
    </row>
    <row r="61" spans="1:7" s="3" customFormat="1" ht="15" customHeight="1" x14ac:dyDescent="0.25">
      <c r="A61" s="307" t="s">
        <v>58</v>
      </c>
      <c r="B61" s="308"/>
      <c r="C61" s="308"/>
      <c r="D61" s="308"/>
      <c r="E61" s="255" t="s">
        <v>42</v>
      </c>
      <c r="F61" s="183"/>
      <c r="G61" s="4"/>
    </row>
    <row r="62" spans="1:7" s="3" customFormat="1" ht="15" hidden="1" customHeight="1" x14ac:dyDescent="0.25">
      <c r="A62" s="26" t="str">
        <f>+A249</f>
        <v>3.1. Veículo Coletor Compactador 15 m³</v>
      </c>
      <c r="B62" s="193"/>
      <c r="C62" s="193"/>
      <c r="D62" s="228"/>
      <c r="E62" s="257">
        <f>C264</f>
        <v>0</v>
      </c>
      <c r="F62" s="183"/>
      <c r="G62" s="4"/>
    </row>
    <row r="63" spans="1:7" s="3" customFormat="1" ht="15" customHeight="1" x14ac:dyDescent="0.25">
      <c r="A63" s="26" t="str">
        <f>+A323</f>
        <v>3.1. Veículo Caminhao Roll On Off</v>
      </c>
      <c r="B63" s="193"/>
      <c r="C63" s="193"/>
      <c r="D63" s="228"/>
      <c r="E63" s="257">
        <f>C338</f>
        <v>1</v>
      </c>
      <c r="F63" s="183"/>
      <c r="G63" s="4"/>
    </row>
    <row r="64" spans="1:7" s="3" customFormat="1" ht="15" customHeight="1" x14ac:dyDescent="0.25">
      <c r="A64" s="3" t="s">
        <v>345</v>
      </c>
      <c r="B64" s="193"/>
      <c r="C64" s="193"/>
      <c r="D64" s="228"/>
      <c r="E64" s="257">
        <v>3</v>
      </c>
      <c r="F64" s="183"/>
      <c r="G64" s="4"/>
    </row>
    <row r="65" spans="1:7" s="3" customFormat="1" ht="15" hidden="1" customHeight="1" x14ac:dyDescent="0.25">
      <c r="A65" s="26" t="str">
        <f>+A397</f>
        <v>3.2. Veículo Coletor Bau (Coleta Seletiva)</v>
      </c>
      <c r="B65" s="193"/>
      <c r="C65" s="193"/>
      <c r="D65" s="228"/>
      <c r="E65" s="257">
        <f>C412</f>
        <v>0</v>
      </c>
      <c r="F65" s="183"/>
      <c r="G65" s="4"/>
    </row>
    <row r="66" spans="1:7" s="3" customFormat="1" ht="15" customHeight="1" thickBot="1" x14ac:dyDescent="0.3">
      <c r="A66" s="27" t="s">
        <v>313</v>
      </c>
      <c r="B66" s="194"/>
      <c r="C66" s="194"/>
      <c r="D66" s="229"/>
      <c r="E66" s="258">
        <f>SUM(E62:E65)</f>
        <v>4</v>
      </c>
      <c r="F66" s="183"/>
      <c r="G66" s="4"/>
    </row>
    <row r="67" spans="1:7" s="3" customFormat="1" ht="13.8" thickBot="1" x14ac:dyDescent="0.3">
      <c r="A67" s="22"/>
      <c r="B67" s="196"/>
      <c r="C67" s="196"/>
      <c r="D67" s="230"/>
      <c r="E67" s="260"/>
      <c r="F67" s="183"/>
      <c r="G67" s="4"/>
    </row>
    <row r="68" spans="1:7" s="9" customFormat="1" ht="15.75" customHeight="1" thickBot="1" x14ac:dyDescent="0.3">
      <c r="A68" s="147" t="s">
        <v>205</v>
      </c>
      <c r="B68" s="197">
        <v>1</v>
      </c>
      <c r="C68" s="245"/>
      <c r="D68" s="214"/>
      <c r="E68" s="261"/>
      <c r="F68" s="275"/>
      <c r="G68" s="17"/>
    </row>
    <row r="69" spans="1:7" s="3" customFormat="1" ht="15.75" customHeight="1" x14ac:dyDescent="0.25">
      <c r="A69" s="22"/>
      <c r="B69" s="196"/>
      <c r="C69" s="196"/>
      <c r="D69" s="230"/>
      <c r="E69" s="260"/>
      <c r="F69" s="183"/>
      <c r="G69" s="4"/>
    </row>
    <row r="70" spans="1:7" ht="13.2" customHeight="1" x14ac:dyDescent="0.25">
      <c r="A70" s="9" t="s">
        <v>49</v>
      </c>
    </row>
    <row r="71" spans="1:7" ht="11.25" customHeight="1" x14ac:dyDescent="0.25"/>
    <row r="72" spans="1:7" ht="13.95" hidden="1" customHeight="1" thickBot="1" x14ac:dyDescent="0.3">
      <c r="A72" s="7" t="s">
        <v>104</v>
      </c>
    </row>
    <row r="73" spans="1:7" ht="13.95" hidden="1" customHeight="1" thickBot="1" x14ac:dyDescent="0.3">
      <c r="A73" s="23" t="s">
        <v>66</v>
      </c>
      <c r="B73" s="198" t="s">
        <v>67</v>
      </c>
      <c r="C73" s="198" t="s">
        <v>42</v>
      </c>
      <c r="D73" s="231" t="s">
        <v>252</v>
      </c>
      <c r="E73" s="231" t="s">
        <v>68</v>
      </c>
      <c r="F73" s="276" t="s">
        <v>69</v>
      </c>
    </row>
    <row r="74" spans="1:7" ht="13.2" hidden="1" customHeight="1" x14ac:dyDescent="0.25">
      <c r="A74" s="10" t="s">
        <v>226</v>
      </c>
      <c r="B74" s="199" t="s">
        <v>8</v>
      </c>
      <c r="C74" s="199">
        <v>1</v>
      </c>
      <c r="D74" s="232">
        <v>1278.2</v>
      </c>
      <c r="E74" s="232">
        <f>C74*D74</f>
        <v>1278.2</v>
      </c>
    </row>
    <row r="75" spans="1:7" hidden="1" x14ac:dyDescent="0.25">
      <c r="A75" s="11" t="s">
        <v>36</v>
      </c>
      <c r="B75" s="200" t="s">
        <v>0</v>
      </c>
      <c r="C75" s="288">
        <v>6</v>
      </c>
      <c r="D75" s="233">
        <f>D74/220*2</f>
        <v>11.620000000000001</v>
      </c>
      <c r="E75" s="233">
        <f>C75*D75</f>
        <v>69.72</v>
      </c>
      <c r="G75" s="8" t="s">
        <v>267</v>
      </c>
    </row>
    <row r="76" spans="1:7" ht="13.2" hidden="1" customHeight="1" x14ac:dyDescent="0.25">
      <c r="A76" s="11" t="s">
        <v>37</v>
      </c>
      <c r="B76" s="200" t="s">
        <v>0</v>
      </c>
      <c r="C76" s="288"/>
      <c r="D76" s="233">
        <f>D74/220*1.5</f>
        <v>8.7149999999999999</v>
      </c>
      <c r="E76" s="233">
        <f>C76*D76</f>
        <v>0</v>
      </c>
      <c r="G76" s="8" t="s">
        <v>269</v>
      </c>
    </row>
    <row r="77" spans="1:7" ht="13.2" hidden="1" customHeight="1" x14ac:dyDescent="0.25">
      <c r="A77" s="11" t="s">
        <v>233</v>
      </c>
      <c r="B77" s="200" t="s">
        <v>35</v>
      </c>
      <c r="D77" s="233">
        <f>63/302*(SUM(E75:E76))</f>
        <v>14.544238410596027</v>
      </c>
      <c r="E77" s="233">
        <f>D77</f>
        <v>14.544238410596027</v>
      </c>
      <c r="G77" s="8" t="s">
        <v>232</v>
      </c>
    </row>
    <row r="78" spans="1:7" hidden="1" x14ac:dyDescent="0.25">
      <c r="A78" s="11" t="s">
        <v>1</v>
      </c>
      <c r="B78" s="200" t="s">
        <v>2</v>
      </c>
      <c r="C78" s="200">
        <v>40</v>
      </c>
      <c r="D78" s="233">
        <f>SUM(E74:E77)</f>
        <v>1362.4642384105962</v>
      </c>
      <c r="E78" s="233">
        <f>C78*D78/100</f>
        <v>544.9856953642385</v>
      </c>
    </row>
    <row r="79" spans="1:7" hidden="1" x14ac:dyDescent="0.25">
      <c r="A79" s="37" t="s">
        <v>3</v>
      </c>
      <c r="B79" s="201"/>
      <c r="C79" s="201"/>
      <c r="D79" s="234"/>
      <c r="E79" s="262">
        <f>SUM(E74:E78)</f>
        <v>1907.4499337748348</v>
      </c>
    </row>
    <row r="80" spans="1:7" hidden="1" x14ac:dyDescent="0.25">
      <c r="A80" s="11" t="s">
        <v>4</v>
      </c>
      <c r="B80" s="200" t="s">
        <v>2</v>
      </c>
      <c r="C80" s="233">
        <f>'2.Encargos Sociais'!$C$34*100</f>
        <v>75.87</v>
      </c>
      <c r="D80" s="233">
        <f>E79</f>
        <v>1907.4499337748348</v>
      </c>
      <c r="E80" s="233">
        <f>D80*C80/100</f>
        <v>1447.1822647549673</v>
      </c>
    </row>
    <row r="81" spans="1:7" hidden="1" x14ac:dyDescent="0.25">
      <c r="A81" s="37" t="s">
        <v>76</v>
      </c>
      <c r="B81" s="201"/>
      <c r="C81" s="201"/>
      <c r="D81" s="234"/>
      <c r="E81" s="262">
        <f>E79+E80</f>
        <v>3354.6321985298018</v>
      </c>
    </row>
    <row r="82" spans="1:7" ht="13.8" hidden="1" thickBot="1" x14ac:dyDescent="0.3">
      <c r="A82" s="11" t="s">
        <v>5</v>
      </c>
      <c r="B82" s="200" t="s">
        <v>6</v>
      </c>
      <c r="C82" s="200"/>
      <c r="D82" s="233">
        <f>E81</f>
        <v>3354.6321985298018</v>
      </c>
      <c r="E82" s="233">
        <f>C82*D82</f>
        <v>0</v>
      </c>
      <c r="G82" s="4"/>
    </row>
    <row r="83" spans="1:7" ht="13.95" hidden="1" customHeight="1" thickBot="1" x14ac:dyDescent="0.3">
      <c r="D83" s="235" t="s">
        <v>204</v>
      </c>
      <c r="E83" s="263">
        <f>$B$68</f>
        <v>1</v>
      </c>
      <c r="F83" s="277">
        <f>E82*E83</f>
        <v>0</v>
      </c>
      <c r="G83" s="4"/>
    </row>
    <row r="84" spans="1:7" ht="11.25" hidden="1" customHeight="1" x14ac:dyDescent="0.25"/>
    <row r="85" spans="1:7" ht="13.8" hidden="1" thickBot="1" x14ac:dyDescent="0.3">
      <c r="A85" s="5" t="s">
        <v>334</v>
      </c>
    </row>
    <row r="86" spans="1:7" ht="13.8" hidden="1" thickBot="1" x14ac:dyDescent="0.3">
      <c r="A86" s="23" t="s">
        <v>66</v>
      </c>
      <c r="B86" s="198" t="s">
        <v>67</v>
      </c>
      <c r="C86" s="198" t="s">
        <v>42</v>
      </c>
      <c r="D86" s="231" t="s">
        <v>252</v>
      </c>
      <c r="E86" s="231" t="s">
        <v>68</v>
      </c>
      <c r="F86" s="276" t="s">
        <v>69</v>
      </c>
    </row>
    <row r="87" spans="1:7" hidden="1" x14ac:dyDescent="0.25">
      <c r="A87" s="10" t="s">
        <v>226</v>
      </c>
      <c r="B87" s="199" t="s">
        <v>8</v>
      </c>
      <c r="C87" s="199">
        <v>1</v>
      </c>
      <c r="D87" s="232">
        <v>1130</v>
      </c>
      <c r="E87" s="232">
        <f>C87*D87</f>
        <v>1130</v>
      </c>
    </row>
    <row r="88" spans="1:7" hidden="1" x14ac:dyDescent="0.25">
      <c r="A88" s="11" t="s">
        <v>7</v>
      </c>
      <c r="B88" s="200" t="s">
        <v>102</v>
      </c>
      <c r="C88" s="288"/>
      <c r="D88" s="233"/>
      <c r="E88" s="233"/>
    </row>
    <row r="89" spans="1:7" hidden="1" x14ac:dyDescent="0.25">
      <c r="A89" s="11"/>
      <c r="B89" s="200" t="s">
        <v>106</v>
      </c>
      <c r="C89" s="289">
        <f>C88*8/7</f>
        <v>0</v>
      </c>
      <c r="D89" s="233">
        <f>D87/220*0.2</f>
        <v>1.0272727272727273</v>
      </c>
      <c r="E89" s="233">
        <f>C88*D89</f>
        <v>0</v>
      </c>
    </row>
    <row r="90" spans="1:7" hidden="1" x14ac:dyDescent="0.25">
      <c r="A90" s="11" t="s">
        <v>36</v>
      </c>
      <c r="B90" s="200" t="s">
        <v>0</v>
      </c>
      <c r="C90" s="288"/>
      <c r="D90" s="233">
        <f>D87/220*2</f>
        <v>10.272727272727273</v>
      </c>
      <c r="E90" s="233">
        <f>C90*D90</f>
        <v>0</v>
      </c>
      <c r="G90" s="8" t="s">
        <v>267</v>
      </c>
    </row>
    <row r="91" spans="1:7" hidden="1" x14ac:dyDescent="0.25">
      <c r="A91" s="11" t="s">
        <v>103</v>
      </c>
      <c r="B91" s="200" t="s">
        <v>102</v>
      </c>
      <c r="C91" s="288"/>
      <c r="D91" s="233"/>
      <c r="E91" s="233"/>
      <c r="G91" s="8" t="s">
        <v>268</v>
      </c>
    </row>
    <row r="92" spans="1:7" hidden="1" x14ac:dyDescent="0.25">
      <c r="A92" s="11"/>
      <c r="B92" s="200" t="s">
        <v>106</v>
      </c>
      <c r="C92" s="289">
        <f>C91*8/7</f>
        <v>0</v>
      </c>
      <c r="D92" s="233">
        <f>D87/220*2*1.2</f>
        <v>12.327272727272728</v>
      </c>
      <c r="E92" s="233">
        <f>C92*D92</f>
        <v>0</v>
      </c>
      <c r="G92" s="8" t="s">
        <v>268</v>
      </c>
    </row>
    <row r="93" spans="1:7" hidden="1" x14ac:dyDescent="0.25">
      <c r="A93" s="11" t="s">
        <v>37</v>
      </c>
      <c r="B93" s="200" t="s">
        <v>0</v>
      </c>
      <c r="C93" s="288"/>
      <c r="D93" s="233">
        <f>D87/220*1.5</f>
        <v>7.704545454545455</v>
      </c>
      <c r="E93" s="233">
        <f>C93*D93</f>
        <v>0</v>
      </c>
      <c r="G93" s="8" t="s">
        <v>269</v>
      </c>
    </row>
    <row r="94" spans="1:7" hidden="1" x14ac:dyDescent="0.25">
      <c r="A94" s="11" t="s">
        <v>231</v>
      </c>
      <c r="B94" s="200" t="s">
        <v>102</v>
      </c>
      <c r="C94" s="288"/>
      <c r="D94" s="233"/>
      <c r="E94" s="233"/>
      <c r="G94" s="8" t="s">
        <v>270</v>
      </c>
    </row>
    <row r="95" spans="1:7" hidden="1" x14ac:dyDescent="0.25">
      <c r="A95" s="11"/>
      <c r="B95" s="200" t="s">
        <v>106</v>
      </c>
      <c r="C95" s="233">
        <f>C94*8/7</f>
        <v>0</v>
      </c>
      <c r="D95" s="233">
        <f>D87/220*1.5*1.2</f>
        <v>9.245454545454546</v>
      </c>
      <c r="E95" s="233">
        <f>C95*D95</f>
        <v>0</v>
      </c>
      <c r="G95" s="8" t="s">
        <v>270</v>
      </c>
    </row>
    <row r="96" spans="1:7" ht="13.2" hidden="1" customHeight="1" x14ac:dyDescent="0.25">
      <c r="A96" s="11" t="s">
        <v>233</v>
      </c>
      <c r="B96" s="200" t="s">
        <v>35</v>
      </c>
      <c r="D96" s="233">
        <f>63/302*(SUM(E90:E95))</f>
        <v>0</v>
      </c>
      <c r="E96" s="233">
        <f>D96</f>
        <v>0</v>
      </c>
      <c r="G96" s="8" t="s">
        <v>232</v>
      </c>
    </row>
    <row r="97" spans="1:7" hidden="1" x14ac:dyDescent="0.25">
      <c r="A97" s="11" t="s">
        <v>1</v>
      </c>
      <c r="B97" s="200" t="s">
        <v>2</v>
      </c>
      <c r="C97" s="200">
        <f>+C78</f>
        <v>40</v>
      </c>
      <c r="D97" s="233">
        <f>SUM(E87:E96)</f>
        <v>1130</v>
      </c>
      <c r="E97" s="233">
        <f>C97*D97/100</f>
        <v>452</v>
      </c>
    </row>
    <row r="98" spans="1:7" hidden="1" x14ac:dyDescent="0.25">
      <c r="A98" s="37" t="s">
        <v>3</v>
      </c>
      <c r="B98" s="201"/>
      <c r="C98" s="201"/>
      <c r="D98" s="234"/>
      <c r="E98" s="262">
        <f>SUM(E87:E97)</f>
        <v>1582</v>
      </c>
    </row>
    <row r="99" spans="1:7" hidden="1" x14ac:dyDescent="0.25">
      <c r="A99" s="11" t="s">
        <v>4</v>
      </c>
      <c r="B99" s="200" t="s">
        <v>2</v>
      </c>
      <c r="C99" s="233">
        <f>'2.Encargos Sociais'!$C$34*100</f>
        <v>75.87</v>
      </c>
      <c r="D99" s="233">
        <f>E98</f>
        <v>1582</v>
      </c>
      <c r="E99" s="233">
        <f>D99*C99/100</f>
        <v>1200.2634</v>
      </c>
    </row>
    <row r="100" spans="1:7" hidden="1" x14ac:dyDescent="0.25">
      <c r="A100" s="37" t="s">
        <v>76</v>
      </c>
      <c r="B100" s="201"/>
      <c r="C100" s="201"/>
      <c r="D100" s="234"/>
      <c r="E100" s="262">
        <f>E98+E99</f>
        <v>2782.2633999999998</v>
      </c>
    </row>
    <row r="101" spans="1:7" ht="13.8" hidden="1" thickBot="1" x14ac:dyDescent="0.3">
      <c r="A101" s="11" t="s">
        <v>5</v>
      </c>
      <c r="B101" s="200" t="s">
        <v>6</v>
      </c>
      <c r="C101" s="200"/>
      <c r="D101" s="233">
        <f>E100</f>
        <v>2782.2633999999998</v>
      </c>
      <c r="E101" s="233">
        <f>C101*D101</f>
        <v>0</v>
      </c>
    </row>
    <row r="102" spans="1:7" ht="13.8" hidden="1" thickBot="1" x14ac:dyDescent="0.3">
      <c r="D102" s="235" t="s">
        <v>204</v>
      </c>
      <c r="E102" s="263">
        <f>$B$68</f>
        <v>1</v>
      </c>
      <c r="F102" s="277">
        <f>E101*E102</f>
        <v>0</v>
      </c>
    </row>
    <row r="103" spans="1:7" ht="11.25" hidden="1" customHeight="1" x14ac:dyDescent="0.25"/>
    <row r="104" spans="1:7" ht="11.25" customHeight="1" x14ac:dyDescent="0.25"/>
    <row r="105" spans="1:7" ht="13.8" hidden="1" thickBot="1" x14ac:dyDescent="0.3">
      <c r="A105" s="7" t="s">
        <v>105</v>
      </c>
    </row>
    <row r="106" spans="1:7" ht="13.8" hidden="1" thickBot="1" x14ac:dyDescent="0.3">
      <c r="A106" s="23" t="s">
        <v>66</v>
      </c>
      <c r="B106" s="198" t="s">
        <v>67</v>
      </c>
      <c r="C106" s="198" t="s">
        <v>42</v>
      </c>
      <c r="D106" s="231" t="s">
        <v>252</v>
      </c>
      <c r="E106" s="231" t="s">
        <v>68</v>
      </c>
      <c r="F106" s="276" t="s">
        <v>69</v>
      </c>
    </row>
    <row r="107" spans="1:7" hidden="1" x14ac:dyDescent="0.25">
      <c r="A107" s="10" t="s">
        <v>226</v>
      </c>
      <c r="B107" s="199" t="s">
        <v>8</v>
      </c>
      <c r="C107" s="199">
        <v>1</v>
      </c>
      <c r="D107" s="232" t="e">
        <f>#REF!</f>
        <v>#REF!</v>
      </c>
      <c r="E107" s="232" t="e">
        <f>C107*D107</f>
        <v>#REF!</v>
      </c>
    </row>
    <row r="108" spans="1:7" hidden="1" x14ac:dyDescent="0.25">
      <c r="A108" s="10" t="s">
        <v>227</v>
      </c>
      <c r="B108" s="199" t="s">
        <v>8</v>
      </c>
      <c r="C108" s="199">
        <v>1</v>
      </c>
      <c r="D108" s="233" t="e">
        <f>#REF!</f>
        <v>#REF!</v>
      </c>
      <c r="E108" s="233"/>
    </row>
    <row r="109" spans="1:7" hidden="1" x14ac:dyDescent="0.25">
      <c r="A109" s="11" t="s">
        <v>7</v>
      </c>
      <c r="B109" s="200" t="s">
        <v>102</v>
      </c>
      <c r="C109" s="288">
        <v>50</v>
      </c>
      <c r="D109" s="237"/>
      <c r="E109" s="237"/>
    </row>
    <row r="110" spans="1:7" hidden="1" x14ac:dyDescent="0.25">
      <c r="A110" s="11"/>
      <c r="B110" s="200" t="s">
        <v>106</v>
      </c>
      <c r="C110" s="233">
        <f>C109*8/7</f>
        <v>57.142857142857146</v>
      </c>
      <c r="D110" s="233" t="e">
        <f>D107/220*0.2</f>
        <v>#REF!</v>
      </c>
      <c r="E110" s="233" t="e">
        <f>C109*D110</f>
        <v>#REF!</v>
      </c>
    </row>
    <row r="111" spans="1:7" hidden="1" x14ac:dyDescent="0.25">
      <c r="A111" s="11" t="s">
        <v>36</v>
      </c>
      <c r="B111" s="200" t="s">
        <v>0</v>
      </c>
      <c r="C111" s="288"/>
      <c r="D111" s="233" t="e">
        <f>D107/220*2</f>
        <v>#REF!</v>
      </c>
      <c r="E111" s="233" t="e">
        <f>C111*D111</f>
        <v>#REF!</v>
      </c>
      <c r="G111" s="8" t="s">
        <v>267</v>
      </c>
    </row>
    <row r="112" spans="1:7" hidden="1" x14ac:dyDescent="0.25">
      <c r="A112" s="11" t="s">
        <v>103</v>
      </c>
      <c r="B112" s="200" t="s">
        <v>102</v>
      </c>
      <c r="C112" s="288"/>
      <c r="D112" s="233"/>
      <c r="E112" s="233"/>
      <c r="G112" s="8" t="s">
        <v>268</v>
      </c>
    </row>
    <row r="113" spans="1:7" hidden="1" x14ac:dyDescent="0.25">
      <c r="A113" s="11"/>
      <c r="B113" s="200" t="s">
        <v>106</v>
      </c>
      <c r="C113" s="233">
        <f>C112*8/7</f>
        <v>0</v>
      </c>
      <c r="D113" s="233" t="e">
        <f>D107/220*2*1.2</f>
        <v>#REF!</v>
      </c>
      <c r="E113" s="233" t="e">
        <f>C113*D113</f>
        <v>#REF!</v>
      </c>
      <c r="G113" s="8" t="s">
        <v>268</v>
      </c>
    </row>
    <row r="114" spans="1:7" hidden="1" x14ac:dyDescent="0.25">
      <c r="A114" s="11" t="s">
        <v>37</v>
      </c>
      <c r="B114" s="200" t="s">
        <v>0</v>
      </c>
      <c r="C114" s="288"/>
      <c r="D114" s="233" t="e">
        <f>D107/220*1.5</f>
        <v>#REF!</v>
      </c>
      <c r="E114" s="233" t="e">
        <f>C114*D114</f>
        <v>#REF!</v>
      </c>
      <c r="G114" s="8" t="s">
        <v>269</v>
      </c>
    </row>
    <row r="115" spans="1:7" hidden="1" x14ac:dyDescent="0.25">
      <c r="A115" s="11" t="s">
        <v>231</v>
      </c>
      <c r="B115" s="200" t="s">
        <v>102</v>
      </c>
      <c r="C115" s="288"/>
      <c r="D115" s="233"/>
      <c r="E115" s="233"/>
      <c r="G115" s="8" t="s">
        <v>270</v>
      </c>
    </row>
    <row r="116" spans="1:7" hidden="1" x14ac:dyDescent="0.25">
      <c r="A116" s="11"/>
      <c r="B116" s="200" t="s">
        <v>106</v>
      </c>
      <c r="C116" s="233">
        <f>C115*8/7</f>
        <v>0</v>
      </c>
      <c r="D116" s="233" t="e">
        <f>D107/220*1.5*1.2</f>
        <v>#REF!</v>
      </c>
      <c r="E116" s="233" t="e">
        <f>C116*D116</f>
        <v>#REF!</v>
      </c>
      <c r="G116" s="8" t="s">
        <v>270</v>
      </c>
    </row>
    <row r="117" spans="1:7" ht="13.2" hidden="1" customHeight="1" x14ac:dyDescent="0.25">
      <c r="A117" s="11" t="s">
        <v>233</v>
      </c>
      <c r="B117" s="200" t="s">
        <v>35</v>
      </c>
      <c r="D117" s="233" t="e">
        <f>63/302*(SUM(E111:E116))</f>
        <v>#REF!</v>
      </c>
      <c r="E117" s="233" t="e">
        <f>D117</f>
        <v>#REF!</v>
      </c>
      <c r="G117" s="8" t="s">
        <v>232</v>
      </c>
    </row>
    <row r="118" spans="1:7" hidden="1" x14ac:dyDescent="0.25">
      <c r="A118" s="11" t="s">
        <v>228</v>
      </c>
      <c r="B118" s="200"/>
      <c r="C118" s="290">
        <v>1</v>
      </c>
      <c r="D118" s="233"/>
      <c r="E118" s="233"/>
    </row>
    <row r="119" spans="1:7" hidden="1" x14ac:dyDescent="0.25">
      <c r="A119" s="11" t="s">
        <v>1</v>
      </c>
      <c r="B119" s="200" t="s">
        <v>2</v>
      </c>
      <c r="C119" s="233" t="e">
        <f>+#REF!</f>
        <v>#REF!</v>
      </c>
      <c r="D119" s="233" t="e">
        <f>IF(C118=2,SUM(E107:E117),IF(C118=1,SUM(E107:E117)*D108/D107,0))</f>
        <v>#REF!</v>
      </c>
      <c r="E119" s="233" t="e">
        <f>C119*D119/100</f>
        <v>#REF!</v>
      </c>
    </row>
    <row r="120" spans="1:7" s="9" customFormat="1" hidden="1" x14ac:dyDescent="0.25">
      <c r="A120" s="37" t="s">
        <v>3</v>
      </c>
      <c r="B120" s="201"/>
      <c r="C120" s="201"/>
      <c r="D120" s="234"/>
      <c r="E120" s="262" t="e">
        <f>SUM(E107:E119)</f>
        <v>#REF!</v>
      </c>
      <c r="F120" s="278"/>
      <c r="G120" s="17"/>
    </row>
    <row r="121" spans="1:7" hidden="1" x14ac:dyDescent="0.25">
      <c r="A121" s="11" t="s">
        <v>4</v>
      </c>
      <c r="B121" s="200" t="s">
        <v>2</v>
      </c>
      <c r="C121" s="233">
        <f>'2.Encargos Sociais'!$C$34*100</f>
        <v>75.87</v>
      </c>
      <c r="D121" s="233" t="e">
        <f>E120</f>
        <v>#REF!</v>
      </c>
      <c r="E121" s="233" t="e">
        <f>D121*C121/100</f>
        <v>#REF!</v>
      </c>
    </row>
    <row r="122" spans="1:7" s="9" customFormat="1" hidden="1" x14ac:dyDescent="0.25">
      <c r="A122" s="37" t="s">
        <v>271</v>
      </c>
      <c r="B122" s="201"/>
      <c r="C122" s="201"/>
      <c r="D122" s="234"/>
      <c r="E122" s="262" t="e">
        <f>E120+E121</f>
        <v>#REF!</v>
      </c>
      <c r="F122" s="278"/>
      <c r="G122" s="17"/>
    </row>
    <row r="123" spans="1:7" ht="13.8" hidden="1" thickBot="1" x14ac:dyDescent="0.3">
      <c r="A123" s="11" t="s">
        <v>5</v>
      </c>
      <c r="B123" s="200" t="s">
        <v>6</v>
      </c>
      <c r="C123" s="200"/>
      <c r="D123" s="233" t="e">
        <f>E122</f>
        <v>#REF!</v>
      </c>
      <c r="E123" s="233" t="e">
        <f>C123*D123</f>
        <v>#REF!</v>
      </c>
    </row>
    <row r="124" spans="1:7" ht="13.8" hidden="1" thickBot="1" x14ac:dyDescent="0.3">
      <c r="D124" s="235" t="s">
        <v>204</v>
      </c>
      <c r="E124" s="263">
        <f>$B$68</f>
        <v>1</v>
      </c>
      <c r="F124" s="277" t="e">
        <f>E123*E124</f>
        <v>#REF!</v>
      </c>
    </row>
    <row r="125" spans="1:7" hidden="1" x14ac:dyDescent="0.25">
      <c r="D125" s="235"/>
      <c r="E125" s="196"/>
      <c r="F125" s="279"/>
    </row>
    <row r="126" spans="1:7" ht="13.8" hidden="1" thickBot="1" x14ac:dyDescent="0.3">
      <c r="A126" s="5" t="s">
        <v>335</v>
      </c>
    </row>
    <row r="127" spans="1:7" ht="13.8" hidden="1" thickBot="1" x14ac:dyDescent="0.3">
      <c r="A127" s="23" t="s">
        <v>66</v>
      </c>
      <c r="B127" s="198" t="s">
        <v>67</v>
      </c>
      <c r="C127" s="198" t="s">
        <v>42</v>
      </c>
      <c r="D127" s="231" t="s">
        <v>252</v>
      </c>
      <c r="E127" s="231" t="s">
        <v>68</v>
      </c>
      <c r="F127" s="276" t="s">
        <v>69</v>
      </c>
    </row>
    <row r="128" spans="1:7" hidden="1" x14ac:dyDescent="0.25">
      <c r="A128" s="10" t="s">
        <v>229</v>
      </c>
      <c r="B128" s="199" t="s">
        <v>8</v>
      </c>
      <c r="C128" s="199">
        <v>1</v>
      </c>
      <c r="D128" s="232">
        <v>2200</v>
      </c>
      <c r="E128" s="232">
        <f>C128*D128</f>
        <v>2200</v>
      </c>
    </row>
    <row r="129" spans="1:6" hidden="1" x14ac:dyDescent="0.25">
      <c r="A129" s="10" t="s">
        <v>230</v>
      </c>
      <c r="B129" s="199" t="s">
        <v>8</v>
      </c>
      <c r="C129" s="199">
        <v>1</v>
      </c>
      <c r="D129" s="232"/>
      <c r="E129" s="232"/>
    </row>
    <row r="130" spans="1:6" hidden="1" x14ac:dyDescent="0.25">
      <c r="A130" s="11" t="s">
        <v>36</v>
      </c>
      <c r="B130" s="200" t="s">
        <v>0</v>
      </c>
      <c r="C130" s="288"/>
      <c r="D130" s="233">
        <f>D128/220*2</f>
        <v>20</v>
      </c>
      <c r="E130" s="233">
        <f>C130*D130</f>
        <v>0</v>
      </c>
    </row>
    <row r="131" spans="1:6" hidden="1" x14ac:dyDescent="0.25">
      <c r="A131" s="11" t="s">
        <v>37</v>
      </c>
      <c r="B131" s="200" t="s">
        <v>0</v>
      </c>
      <c r="C131" s="288"/>
      <c r="D131" s="233">
        <f>D128/220*1.5</f>
        <v>15</v>
      </c>
      <c r="E131" s="233">
        <f>C131*D131</f>
        <v>0</v>
      </c>
    </row>
    <row r="132" spans="1:6" hidden="1" x14ac:dyDescent="0.25">
      <c r="A132" s="11" t="s">
        <v>233</v>
      </c>
      <c r="B132" s="200" t="s">
        <v>35</v>
      </c>
      <c r="D132" s="233">
        <f>63/302*(SUM(E130:E131))</f>
        <v>0</v>
      </c>
      <c r="E132" s="233">
        <f>D132</f>
        <v>0</v>
      </c>
    </row>
    <row r="133" spans="1:6" hidden="1" x14ac:dyDescent="0.25">
      <c r="A133" s="11" t="s">
        <v>228</v>
      </c>
      <c r="B133" s="200"/>
      <c r="C133" s="290">
        <v>1</v>
      </c>
      <c r="D133" s="233"/>
      <c r="E133" s="233"/>
    </row>
    <row r="134" spans="1:6" hidden="1" x14ac:dyDescent="0.25">
      <c r="A134" s="11" t="s">
        <v>1</v>
      </c>
      <c r="B134" s="200" t="s">
        <v>2</v>
      </c>
      <c r="C134" s="200">
        <v>20</v>
      </c>
      <c r="D134" s="233">
        <f>IF(C133=2,SUM(E128:E132),IF(C133=1,(SUM(E128:E132))*D129/D128,0))</f>
        <v>0</v>
      </c>
      <c r="E134" s="233">
        <f>C134*D134/100</f>
        <v>0</v>
      </c>
    </row>
    <row r="135" spans="1:6" hidden="1" x14ac:dyDescent="0.25">
      <c r="A135" s="32" t="s">
        <v>3</v>
      </c>
      <c r="B135" s="201"/>
      <c r="C135" s="201"/>
      <c r="D135" s="234"/>
      <c r="E135" s="241">
        <f>SUM(E128:E134)</f>
        <v>2200</v>
      </c>
      <c r="F135" s="278"/>
    </row>
    <row r="136" spans="1:6" hidden="1" x14ac:dyDescent="0.25">
      <c r="A136" s="11" t="s">
        <v>4</v>
      </c>
      <c r="B136" s="200" t="s">
        <v>2</v>
      </c>
      <c r="C136" s="233">
        <f>'2.Encargos Sociais'!$C$34*100</f>
        <v>75.87</v>
      </c>
      <c r="D136" s="233">
        <f>E135</f>
        <v>2200</v>
      </c>
      <c r="E136" s="233">
        <f>D136*C136/100</f>
        <v>1669.14</v>
      </c>
    </row>
    <row r="137" spans="1:6" hidden="1" x14ac:dyDescent="0.25">
      <c r="A137" s="32" t="s">
        <v>271</v>
      </c>
      <c r="B137" s="202"/>
      <c r="C137" s="202"/>
      <c r="D137" s="236"/>
      <c r="E137" s="241">
        <f>E135+E136</f>
        <v>3869.1400000000003</v>
      </c>
      <c r="F137" s="278"/>
    </row>
    <row r="138" spans="1:6" ht="13.8" hidden="1" thickBot="1" x14ac:dyDescent="0.3">
      <c r="A138" s="11" t="s">
        <v>5</v>
      </c>
      <c r="B138" s="200" t="s">
        <v>6</v>
      </c>
      <c r="C138" s="200"/>
      <c r="D138" s="233">
        <f>E137</f>
        <v>3869.1400000000003</v>
      </c>
      <c r="E138" s="233">
        <f>C138*D138</f>
        <v>0</v>
      </c>
    </row>
    <row r="139" spans="1:6" ht="13.8" hidden="1" thickBot="1" x14ac:dyDescent="0.3">
      <c r="D139" s="235" t="s">
        <v>204</v>
      </c>
      <c r="E139" s="263">
        <f>$B$68</f>
        <v>1</v>
      </c>
      <c r="F139" s="277">
        <f>E138*E139</f>
        <v>0</v>
      </c>
    </row>
    <row r="140" spans="1:6" hidden="1" x14ac:dyDescent="0.25">
      <c r="D140" s="235"/>
      <c r="E140" s="196"/>
      <c r="F140" s="279"/>
    </row>
    <row r="141" spans="1:6" ht="13.8" thickBot="1" x14ac:dyDescent="0.3">
      <c r="A141" s="5" t="s">
        <v>341</v>
      </c>
    </row>
    <row r="142" spans="1:6" ht="13.8" thickBot="1" x14ac:dyDescent="0.3">
      <c r="A142" s="23" t="s">
        <v>66</v>
      </c>
      <c r="B142" s="198" t="s">
        <v>67</v>
      </c>
      <c r="C142" s="198" t="s">
        <v>42</v>
      </c>
      <c r="D142" s="231" t="s">
        <v>252</v>
      </c>
      <c r="E142" s="231" t="s">
        <v>68</v>
      </c>
      <c r="F142" s="276" t="s">
        <v>69</v>
      </c>
    </row>
    <row r="143" spans="1:6" x14ac:dyDescent="0.25">
      <c r="A143" s="10" t="s">
        <v>229</v>
      </c>
      <c r="B143" s="199" t="s">
        <v>8</v>
      </c>
      <c r="C143" s="199">
        <v>1</v>
      </c>
      <c r="D143" s="232">
        <v>2150</v>
      </c>
      <c r="E143" s="232">
        <f>C143*D143</f>
        <v>2150</v>
      </c>
    </row>
    <row r="144" spans="1:6" hidden="1" x14ac:dyDescent="0.25">
      <c r="A144" s="10" t="s">
        <v>230</v>
      </c>
      <c r="B144" s="199" t="s">
        <v>8</v>
      </c>
      <c r="C144" s="199">
        <v>1</v>
      </c>
      <c r="D144" s="232">
        <v>998</v>
      </c>
      <c r="E144" s="232"/>
    </row>
    <row r="145" spans="1:6" hidden="1" x14ac:dyDescent="0.25">
      <c r="A145" s="11" t="s">
        <v>36</v>
      </c>
      <c r="B145" s="200" t="s">
        <v>0</v>
      </c>
      <c r="C145" s="288"/>
      <c r="D145" s="233">
        <f>D143/220*2</f>
        <v>19.545454545454547</v>
      </c>
      <c r="E145" s="233">
        <f>C145*D145</f>
        <v>0</v>
      </c>
    </row>
    <row r="146" spans="1:6" hidden="1" x14ac:dyDescent="0.25">
      <c r="A146" s="11" t="s">
        <v>37</v>
      </c>
      <c r="B146" s="200" t="s">
        <v>0</v>
      </c>
      <c r="C146" s="288"/>
      <c r="D146" s="233">
        <f>D143/220*1.5</f>
        <v>14.65909090909091</v>
      </c>
      <c r="E146" s="233">
        <f>C146*D146</f>
        <v>0</v>
      </c>
    </row>
    <row r="147" spans="1:6" hidden="1" x14ac:dyDescent="0.25">
      <c r="A147" s="11" t="s">
        <v>233</v>
      </c>
      <c r="B147" s="200" t="s">
        <v>35</v>
      </c>
      <c r="D147" s="233">
        <f>63/302*(SUM(E145:E146))</f>
        <v>0</v>
      </c>
      <c r="E147" s="233">
        <f>D147</f>
        <v>0</v>
      </c>
    </row>
    <row r="148" spans="1:6" hidden="1" x14ac:dyDescent="0.25">
      <c r="A148" s="11" t="s">
        <v>228</v>
      </c>
      <c r="B148" s="200"/>
      <c r="C148" s="290">
        <v>1</v>
      </c>
      <c r="D148" s="233"/>
      <c r="E148" s="233"/>
    </row>
    <row r="149" spans="1:6" x14ac:dyDescent="0.25">
      <c r="A149" s="11" t="s">
        <v>1</v>
      </c>
      <c r="B149" s="200" t="s">
        <v>2</v>
      </c>
      <c r="C149" s="200">
        <v>20</v>
      </c>
      <c r="D149" s="233">
        <v>1045</v>
      </c>
      <c r="E149" s="233">
        <f>C149*D149/100</f>
        <v>209</v>
      </c>
    </row>
    <row r="150" spans="1:6" x14ac:dyDescent="0.25">
      <c r="A150" s="32" t="s">
        <v>3</v>
      </c>
      <c r="B150" s="201"/>
      <c r="C150" s="201"/>
      <c r="D150" s="234"/>
      <c r="E150" s="241">
        <f>SUM(E143:E149)</f>
        <v>2359</v>
      </c>
      <c r="F150" s="278"/>
    </row>
    <row r="151" spans="1:6" x14ac:dyDescent="0.25">
      <c r="A151" s="11" t="s">
        <v>4</v>
      </c>
      <c r="B151" s="200" t="s">
        <v>2</v>
      </c>
      <c r="C151" s="233">
        <f>'2.Encargos Sociais'!$C$34*100</f>
        <v>75.87</v>
      </c>
      <c r="D151" s="233">
        <f>E150</f>
        <v>2359</v>
      </c>
      <c r="E151" s="233">
        <f>D151*C151/100</f>
        <v>1789.7733000000001</v>
      </c>
    </row>
    <row r="152" spans="1:6" x14ac:dyDescent="0.25">
      <c r="A152" s="32" t="s">
        <v>271</v>
      </c>
      <c r="B152" s="202"/>
      <c r="C152" s="202"/>
      <c r="D152" s="236"/>
      <c r="E152" s="241">
        <f>E150+E151</f>
        <v>4148.7732999999998</v>
      </c>
      <c r="F152" s="278"/>
    </row>
    <row r="153" spans="1:6" ht="13.8" thickBot="1" x14ac:dyDescent="0.3">
      <c r="A153" s="11" t="s">
        <v>5</v>
      </c>
      <c r="B153" s="200" t="s">
        <v>6</v>
      </c>
      <c r="C153" s="200">
        <v>1</v>
      </c>
      <c r="D153" s="233">
        <f>E152</f>
        <v>4148.7732999999998</v>
      </c>
      <c r="E153" s="233">
        <f>C153*D153</f>
        <v>4148.7732999999998</v>
      </c>
    </row>
    <row r="154" spans="1:6" ht="13.8" thickBot="1" x14ac:dyDescent="0.3">
      <c r="D154" s="235" t="s">
        <v>204</v>
      </c>
      <c r="E154" s="263">
        <v>0.4</v>
      </c>
      <c r="F154" s="277">
        <f>E153*E154</f>
        <v>1659.5093200000001</v>
      </c>
    </row>
    <row r="155" spans="1:6" x14ac:dyDescent="0.25">
      <c r="D155" s="235"/>
      <c r="E155" s="196"/>
      <c r="F155" s="279"/>
    </row>
    <row r="156" spans="1:6" ht="13.8" hidden="1" thickBot="1" x14ac:dyDescent="0.3">
      <c r="A156" s="5" t="s">
        <v>307</v>
      </c>
    </row>
    <row r="157" spans="1:6" ht="13.8" hidden="1" thickBot="1" x14ac:dyDescent="0.3">
      <c r="A157" s="23" t="s">
        <v>66</v>
      </c>
      <c r="B157" s="198" t="s">
        <v>67</v>
      </c>
      <c r="C157" s="198" t="s">
        <v>42</v>
      </c>
      <c r="D157" s="231" t="s">
        <v>252</v>
      </c>
      <c r="E157" s="231" t="s">
        <v>68</v>
      </c>
      <c r="F157" s="276" t="s">
        <v>69</v>
      </c>
    </row>
    <row r="158" spans="1:6" hidden="1" x14ac:dyDescent="0.25">
      <c r="A158" s="10" t="s">
        <v>229</v>
      </c>
      <c r="B158" s="199" t="s">
        <v>8</v>
      </c>
      <c r="C158" s="199">
        <v>1</v>
      </c>
      <c r="D158" s="232">
        <v>3500</v>
      </c>
      <c r="E158" s="232">
        <f>C158*D158</f>
        <v>3500</v>
      </c>
    </row>
    <row r="159" spans="1:6" hidden="1" x14ac:dyDescent="0.25">
      <c r="A159" s="10" t="s">
        <v>230</v>
      </c>
      <c r="B159" s="199" t="s">
        <v>8</v>
      </c>
      <c r="C159" s="199">
        <v>1</v>
      </c>
      <c r="D159" s="232"/>
      <c r="E159" s="232"/>
    </row>
    <row r="160" spans="1:6" hidden="1" x14ac:dyDescent="0.25">
      <c r="A160" s="11" t="s">
        <v>36</v>
      </c>
      <c r="B160" s="200" t="s">
        <v>0</v>
      </c>
      <c r="C160" s="288"/>
      <c r="D160" s="233">
        <f>D158/220*2</f>
        <v>31.818181818181817</v>
      </c>
      <c r="E160" s="233">
        <f>C160*D160</f>
        <v>0</v>
      </c>
    </row>
    <row r="161" spans="1:6" hidden="1" x14ac:dyDescent="0.25">
      <c r="A161" s="11" t="s">
        <v>37</v>
      </c>
      <c r="B161" s="200" t="s">
        <v>0</v>
      </c>
      <c r="C161" s="288"/>
      <c r="D161" s="233">
        <f>D158/220*1.5</f>
        <v>23.863636363636363</v>
      </c>
      <c r="E161" s="233">
        <f>C161*D161</f>
        <v>0</v>
      </c>
    </row>
    <row r="162" spans="1:6" hidden="1" x14ac:dyDescent="0.25">
      <c r="A162" s="11" t="s">
        <v>233</v>
      </c>
      <c r="B162" s="200" t="s">
        <v>35</v>
      </c>
      <c r="D162" s="233">
        <f>63/302*(SUM(E160:E161))</f>
        <v>0</v>
      </c>
      <c r="E162" s="233">
        <f>D162</f>
        <v>0</v>
      </c>
    </row>
    <row r="163" spans="1:6" hidden="1" x14ac:dyDescent="0.25">
      <c r="A163" s="11" t="s">
        <v>228</v>
      </c>
      <c r="B163" s="200"/>
      <c r="C163" s="290">
        <v>1</v>
      </c>
      <c r="D163" s="233"/>
      <c r="E163" s="233"/>
    </row>
    <row r="164" spans="1:6" hidden="1" x14ac:dyDescent="0.25">
      <c r="A164" s="11" t="s">
        <v>1</v>
      </c>
      <c r="B164" s="200" t="s">
        <v>2</v>
      </c>
      <c r="C164" s="200">
        <v>20</v>
      </c>
      <c r="D164" s="233">
        <f>IF(C163=2,SUM(E158:E162),IF(C163=1,(SUM(E158:E162))*D159/D158,0))</f>
        <v>0</v>
      </c>
      <c r="E164" s="233">
        <f>C164*D164/100</f>
        <v>0</v>
      </c>
    </row>
    <row r="165" spans="1:6" hidden="1" x14ac:dyDescent="0.25">
      <c r="A165" s="32" t="s">
        <v>3</v>
      </c>
      <c r="B165" s="201"/>
      <c r="C165" s="201"/>
      <c r="D165" s="234"/>
      <c r="E165" s="241">
        <f>SUM(E158:E164)</f>
        <v>3500</v>
      </c>
      <c r="F165" s="278"/>
    </row>
    <row r="166" spans="1:6" hidden="1" x14ac:dyDescent="0.25">
      <c r="A166" s="11" t="s">
        <v>4</v>
      </c>
      <c r="B166" s="200" t="s">
        <v>2</v>
      </c>
      <c r="C166" s="233">
        <f>'2.Encargos Sociais'!$C$34*100</f>
        <v>75.87</v>
      </c>
      <c r="D166" s="233">
        <f>E165</f>
        <v>3500</v>
      </c>
      <c r="E166" s="233">
        <f>D166*C166/100</f>
        <v>2655.45</v>
      </c>
    </row>
    <row r="167" spans="1:6" hidden="1" x14ac:dyDescent="0.25">
      <c r="A167" s="32" t="s">
        <v>271</v>
      </c>
      <c r="B167" s="202"/>
      <c r="C167" s="202"/>
      <c r="D167" s="236"/>
      <c r="E167" s="241">
        <f>E165+E166</f>
        <v>6155.45</v>
      </c>
      <c r="F167" s="278"/>
    </row>
    <row r="168" spans="1:6" ht="13.8" hidden="1" thickBot="1" x14ac:dyDescent="0.3">
      <c r="A168" s="11" t="s">
        <v>5</v>
      </c>
      <c r="B168" s="200" t="s">
        <v>6</v>
      </c>
      <c r="C168" s="200"/>
      <c r="D168" s="233">
        <f>E167</f>
        <v>6155.45</v>
      </c>
      <c r="E168" s="233">
        <f>C168*D168</f>
        <v>0</v>
      </c>
    </row>
    <row r="169" spans="1:6" ht="13.8" hidden="1" thickBot="1" x14ac:dyDescent="0.3">
      <c r="D169" s="235" t="s">
        <v>204</v>
      </c>
      <c r="E169" s="263">
        <v>0.33</v>
      </c>
      <c r="F169" s="277">
        <f>E168*E169</f>
        <v>0</v>
      </c>
    </row>
    <row r="170" spans="1:6" hidden="1" x14ac:dyDescent="0.25">
      <c r="D170" s="235"/>
      <c r="E170" s="196"/>
      <c r="F170" s="279"/>
    </row>
    <row r="171" spans="1:6" ht="13.8" hidden="1" thickBot="1" x14ac:dyDescent="0.3">
      <c r="A171" s="5" t="s">
        <v>308</v>
      </c>
    </row>
    <row r="172" spans="1:6" ht="13.8" hidden="1" thickBot="1" x14ac:dyDescent="0.3">
      <c r="A172" s="23" t="s">
        <v>66</v>
      </c>
      <c r="B172" s="198" t="s">
        <v>67</v>
      </c>
      <c r="C172" s="198" t="s">
        <v>42</v>
      </c>
      <c r="D172" s="231" t="s">
        <v>252</v>
      </c>
      <c r="E172" s="231" t="s">
        <v>68</v>
      </c>
      <c r="F172" s="276" t="s">
        <v>69</v>
      </c>
    </row>
    <row r="173" spans="1:6" hidden="1" x14ac:dyDescent="0.25">
      <c r="A173" s="10" t="s">
        <v>229</v>
      </c>
      <c r="B173" s="199" t="s">
        <v>8</v>
      </c>
      <c r="C173" s="199">
        <v>1</v>
      </c>
      <c r="D173" s="232">
        <v>2000</v>
      </c>
      <c r="E173" s="232">
        <f>C173*D173</f>
        <v>2000</v>
      </c>
    </row>
    <row r="174" spans="1:6" hidden="1" x14ac:dyDescent="0.25">
      <c r="A174" s="10" t="s">
        <v>230</v>
      </c>
      <c r="B174" s="199" t="s">
        <v>8</v>
      </c>
      <c r="C174" s="199">
        <v>1</v>
      </c>
      <c r="D174" s="232"/>
      <c r="E174" s="232"/>
    </row>
    <row r="175" spans="1:6" hidden="1" x14ac:dyDescent="0.25">
      <c r="A175" s="11" t="s">
        <v>36</v>
      </c>
      <c r="B175" s="200" t="s">
        <v>0</v>
      </c>
      <c r="C175" s="288"/>
      <c r="D175" s="233">
        <f>D173/220*2</f>
        <v>18.181818181818183</v>
      </c>
      <c r="E175" s="233">
        <f>C175*D175</f>
        <v>0</v>
      </c>
    </row>
    <row r="176" spans="1:6" hidden="1" x14ac:dyDescent="0.25">
      <c r="A176" s="11" t="s">
        <v>37</v>
      </c>
      <c r="B176" s="200" t="s">
        <v>0</v>
      </c>
      <c r="C176" s="288"/>
      <c r="D176" s="233">
        <f>D173/220*1.5</f>
        <v>13.636363636363637</v>
      </c>
      <c r="E176" s="233">
        <f>C176*D176</f>
        <v>0</v>
      </c>
    </row>
    <row r="177" spans="1:7" hidden="1" x14ac:dyDescent="0.25">
      <c r="A177" s="11" t="s">
        <v>233</v>
      </c>
      <c r="B177" s="200" t="s">
        <v>35</v>
      </c>
      <c r="D177" s="233">
        <f>63/302*(SUM(E175:E176))</f>
        <v>0</v>
      </c>
      <c r="E177" s="233">
        <f>D177</f>
        <v>0</v>
      </c>
    </row>
    <row r="178" spans="1:7" hidden="1" x14ac:dyDescent="0.25">
      <c r="A178" s="11" t="s">
        <v>228</v>
      </c>
      <c r="B178" s="200"/>
      <c r="C178" s="290">
        <v>1</v>
      </c>
      <c r="D178" s="233"/>
      <c r="E178" s="233"/>
    </row>
    <row r="179" spans="1:7" hidden="1" x14ac:dyDescent="0.25">
      <c r="A179" s="11" t="s">
        <v>1</v>
      </c>
      <c r="B179" s="200" t="s">
        <v>2</v>
      </c>
      <c r="C179" s="200">
        <v>20</v>
      </c>
      <c r="D179" s="233">
        <f>IF(C178=2,SUM(E173:E177),IF(C178=1,(SUM(E173:E177))*D174/D173,0))</f>
        <v>0</v>
      </c>
      <c r="E179" s="233">
        <f>C179*D179/100</f>
        <v>0</v>
      </c>
    </row>
    <row r="180" spans="1:7" hidden="1" x14ac:dyDescent="0.25">
      <c r="A180" s="32" t="s">
        <v>3</v>
      </c>
      <c r="B180" s="201"/>
      <c r="C180" s="201"/>
      <c r="D180" s="234"/>
      <c r="E180" s="241">
        <f>SUM(E173:E179)</f>
        <v>2000</v>
      </c>
      <c r="F180" s="278"/>
    </row>
    <row r="181" spans="1:7" hidden="1" x14ac:dyDescent="0.25">
      <c r="A181" s="11" t="s">
        <v>4</v>
      </c>
      <c r="B181" s="200" t="s">
        <v>2</v>
      </c>
      <c r="C181" s="233">
        <f>'2.Encargos Sociais'!$C$34*100</f>
        <v>75.87</v>
      </c>
      <c r="D181" s="233">
        <f>E180</f>
        <v>2000</v>
      </c>
      <c r="E181" s="233">
        <f>D181*C181/100</f>
        <v>1517.4</v>
      </c>
    </row>
    <row r="182" spans="1:7" hidden="1" x14ac:dyDescent="0.25">
      <c r="A182" s="32" t="s">
        <v>271</v>
      </c>
      <c r="B182" s="202"/>
      <c r="C182" s="202"/>
      <c r="D182" s="236"/>
      <c r="E182" s="241">
        <f>E180+E181</f>
        <v>3517.4</v>
      </c>
      <c r="F182" s="278"/>
    </row>
    <row r="183" spans="1:7" ht="13.8" hidden="1" thickBot="1" x14ac:dyDescent="0.3">
      <c r="A183" s="11" t="s">
        <v>5</v>
      </c>
      <c r="B183" s="200" t="s">
        <v>6</v>
      </c>
      <c r="C183" s="200"/>
      <c r="D183" s="233">
        <f>E182</f>
        <v>3517.4</v>
      </c>
      <c r="E183" s="233">
        <f>C183*D183</f>
        <v>0</v>
      </c>
    </row>
    <row r="184" spans="1:7" ht="13.8" hidden="1" thickBot="1" x14ac:dyDescent="0.3">
      <c r="D184" s="235" t="s">
        <v>204</v>
      </c>
      <c r="E184" s="263">
        <v>0.33</v>
      </c>
      <c r="F184" s="277">
        <f>E183*E184</f>
        <v>0</v>
      </c>
    </row>
    <row r="185" spans="1:7" hidden="1" x14ac:dyDescent="0.25">
      <c r="D185" s="235"/>
      <c r="E185" s="196"/>
      <c r="F185" s="279"/>
    </row>
    <row r="186" spans="1:7" ht="11.25" hidden="1" customHeight="1" x14ac:dyDescent="0.25">
      <c r="G186" s="7"/>
    </row>
    <row r="187" spans="1:7" ht="13.8" hidden="1" thickBot="1" x14ac:dyDescent="0.3">
      <c r="A187" s="5" t="s">
        <v>339</v>
      </c>
      <c r="B187" s="203"/>
      <c r="D187" s="183"/>
      <c r="E187" s="183"/>
      <c r="G187" s="7"/>
    </row>
    <row r="188" spans="1:7" ht="13.8" hidden="1" thickBot="1" x14ac:dyDescent="0.3">
      <c r="A188" s="23" t="s">
        <v>66</v>
      </c>
      <c r="B188" s="198" t="s">
        <v>67</v>
      </c>
      <c r="C188" s="198" t="s">
        <v>42</v>
      </c>
      <c r="D188" s="231" t="s">
        <v>252</v>
      </c>
      <c r="E188" s="231" t="s">
        <v>68</v>
      </c>
      <c r="F188" s="276" t="s">
        <v>69</v>
      </c>
      <c r="G188" s="7"/>
    </row>
    <row r="189" spans="1:7" hidden="1" x14ac:dyDescent="0.25">
      <c r="A189" s="11" t="s">
        <v>94</v>
      </c>
      <c r="B189" s="200" t="s">
        <v>35</v>
      </c>
      <c r="C189" s="291">
        <v>1</v>
      </c>
      <c r="D189" s="220">
        <v>3.8</v>
      </c>
      <c r="E189" s="233"/>
      <c r="G189" s="7"/>
    </row>
    <row r="190" spans="1:7" hidden="1" x14ac:dyDescent="0.25">
      <c r="A190" s="11" t="s">
        <v>95</v>
      </c>
      <c r="B190" s="200" t="s">
        <v>96</v>
      </c>
      <c r="D190" s="233"/>
      <c r="E190" s="233"/>
      <c r="G190" s="7"/>
    </row>
    <row r="191" spans="1:7" hidden="1" x14ac:dyDescent="0.25">
      <c r="A191" s="11" t="s">
        <v>77</v>
      </c>
      <c r="B191" s="200" t="s">
        <v>9</v>
      </c>
      <c r="C191" s="292">
        <f>$C$190*2*(C82+C101)</f>
        <v>0</v>
      </c>
      <c r="D191" s="232" t="str">
        <f>IFERROR((($C$190*2*$D$189)-(E74*0.06))/($C$190*2),"-")</f>
        <v>-</v>
      </c>
      <c r="E191" s="233" t="str">
        <f>IFERROR(C191*D191,"-")</f>
        <v>-</v>
      </c>
      <c r="G191" s="7"/>
    </row>
    <row r="192" spans="1:7" hidden="1" x14ac:dyDescent="0.25">
      <c r="A192" s="10" t="s">
        <v>46</v>
      </c>
      <c r="B192" s="199" t="s">
        <v>9</v>
      </c>
      <c r="C192" s="292" t="e">
        <f>$C$190*2*(#REF!+C123)</f>
        <v>#REF!</v>
      </c>
      <c r="D192" s="232" t="str">
        <f>IFERROR((($C$190*2*$D$189)-(#REF!*0.06))/($C$190*2),"-")</f>
        <v>-</v>
      </c>
      <c r="E192" s="232" t="str">
        <f>IFERROR(C192*D192,"-")</f>
        <v>-</v>
      </c>
      <c r="G192" s="7"/>
    </row>
    <row r="193" spans="1:7" hidden="1" x14ac:dyDescent="0.25">
      <c r="A193" s="180" t="s">
        <v>327</v>
      </c>
      <c r="B193" s="199" t="s">
        <v>9</v>
      </c>
      <c r="C193" s="292">
        <v>13</v>
      </c>
      <c r="D193" s="232" t="str">
        <f>IFERROR((($C$190*2*$D$189)-(E143*0.06))/($C$190*2),"-")</f>
        <v>-</v>
      </c>
      <c r="E193" s="232" t="str">
        <f t="shared" ref="E193:E194" si="2">IFERROR(C193*D193,"-")</f>
        <v>-</v>
      </c>
      <c r="G193" s="7"/>
    </row>
    <row r="194" spans="1:7" ht="13.8" hidden="1" thickBot="1" x14ac:dyDescent="0.3">
      <c r="A194" s="180" t="s">
        <v>306</v>
      </c>
      <c r="B194" s="199" t="s">
        <v>9</v>
      </c>
      <c r="C194" s="292"/>
      <c r="D194" s="232" t="str">
        <f>IFERROR((($C$190*2*$D$189)-(E173*0.06))/($C$190*2),"-")</f>
        <v>-</v>
      </c>
      <c r="E194" s="232" t="str">
        <f t="shared" si="2"/>
        <v>-</v>
      </c>
      <c r="G194" s="7"/>
    </row>
    <row r="195" spans="1:7" ht="13.8" hidden="1" thickBot="1" x14ac:dyDescent="0.3">
      <c r="F195" s="280">
        <f>SUM(E191:E194)</f>
        <v>0</v>
      </c>
      <c r="G195" s="7"/>
    </row>
    <row r="196" spans="1:7" ht="11.25" hidden="1" customHeight="1" x14ac:dyDescent="0.25">
      <c r="G196" s="7"/>
    </row>
    <row r="197" spans="1:7" ht="13.8" thickBot="1" x14ac:dyDescent="0.3">
      <c r="A197" s="5" t="s">
        <v>342</v>
      </c>
      <c r="F197" s="245"/>
      <c r="G197" s="7"/>
    </row>
    <row r="198" spans="1:7" ht="13.8" thickBot="1" x14ac:dyDescent="0.3">
      <c r="A198" s="23" t="s">
        <v>66</v>
      </c>
      <c r="B198" s="198" t="s">
        <v>67</v>
      </c>
      <c r="C198" s="198" t="s">
        <v>42</v>
      </c>
      <c r="D198" s="231" t="s">
        <v>252</v>
      </c>
      <c r="E198" s="231" t="s">
        <v>68</v>
      </c>
      <c r="F198" s="276" t="s">
        <v>69</v>
      </c>
      <c r="G198" s="7"/>
    </row>
    <row r="199" spans="1:7" hidden="1" x14ac:dyDescent="0.25">
      <c r="A199" s="11" t="str">
        <f>+A191</f>
        <v>Coletor</v>
      </c>
      <c r="B199" s="200" t="s">
        <v>10</v>
      </c>
      <c r="C199" s="292"/>
      <c r="D199" s="238">
        <v>16.73</v>
      </c>
      <c r="E199" s="263">
        <f>C199*D199</f>
        <v>0</v>
      </c>
      <c r="F199" s="245"/>
      <c r="G199" s="7"/>
    </row>
    <row r="200" spans="1:7" hidden="1" x14ac:dyDescent="0.25">
      <c r="A200" s="182" t="s">
        <v>336</v>
      </c>
      <c r="B200" s="200" t="s">
        <v>10</v>
      </c>
      <c r="C200" s="292"/>
      <c r="D200" s="238">
        <v>16</v>
      </c>
      <c r="E200" s="263">
        <f>C200*D200</f>
        <v>0</v>
      </c>
      <c r="F200" s="245"/>
      <c r="G200" s="7"/>
    </row>
    <row r="201" spans="1:7" ht="13.8" thickBot="1" x14ac:dyDescent="0.3">
      <c r="A201" s="181" t="s">
        <v>322</v>
      </c>
      <c r="B201" s="200" t="s">
        <v>10</v>
      </c>
      <c r="C201" s="292">
        <v>12</v>
      </c>
      <c r="D201" s="238">
        <v>17.41</v>
      </c>
      <c r="E201" s="263">
        <f t="shared" ref="E201:E202" si="3">C201*D201</f>
        <v>208.92000000000002</v>
      </c>
      <c r="F201" s="245"/>
      <c r="G201" s="7"/>
    </row>
    <row r="202" spans="1:7" ht="13.8" hidden="1" thickBot="1" x14ac:dyDescent="0.3">
      <c r="A202" s="182" t="s">
        <v>333</v>
      </c>
      <c r="B202" s="200" t="s">
        <v>10</v>
      </c>
      <c r="C202" s="292"/>
      <c r="D202" s="238">
        <v>16</v>
      </c>
      <c r="E202" s="263">
        <f t="shared" si="3"/>
        <v>0</v>
      </c>
      <c r="F202" s="245"/>
      <c r="G202" s="7"/>
    </row>
    <row r="203" spans="1:7" ht="13.8" thickBot="1" x14ac:dyDescent="0.3">
      <c r="F203" s="280">
        <f>SUM(E199:E202)</f>
        <v>208.92000000000002</v>
      </c>
      <c r="G203" s="7"/>
    </row>
    <row r="204" spans="1:7" ht="13.8" thickBot="1" x14ac:dyDescent="0.3">
      <c r="G204" s="7"/>
    </row>
    <row r="205" spans="1:7" ht="13.8" hidden="1" thickBot="1" x14ac:dyDescent="0.3">
      <c r="A205" s="5" t="s">
        <v>309</v>
      </c>
      <c r="F205" s="245"/>
      <c r="G205" s="7"/>
    </row>
    <row r="206" spans="1:7" ht="13.8" hidden="1" thickBot="1" x14ac:dyDescent="0.3">
      <c r="A206" s="23" t="s">
        <v>66</v>
      </c>
      <c r="B206" s="198" t="s">
        <v>67</v>
      </c>
      <c r="C206" s="198" t="s">
        <v>42</v>
      </c>
      <c r="D206" s="231" t="s">
        <v>252</v>
      </c>
      <c r="E206" s="231" t="s">
        <v>68</v>
      </c>
      <c r="F206" s="276" t="s">
        <v>69</v>
      </c>
      <c r="G206" s="7"/>
    </row>
    <row r="207" spans="1:7" hidden="1" x14ac:dyDescent="0.25">
      <c r="A207" s="11" t="str">
        <f>+A199</f>
        <v>Coletor</v>
      </c>
      <c r="B207" s="200" t="s">
        <v>10</v>
      </c>
      <c r="C207" s="292">
        <f>E52+E53</f>
        <v>0</v>
      </c>
      <c r="D207" s="238"/>
      <c r="E207" s="263">
        <f>C207*D207</f>
        <v>0</v>
      </c>
      <c r="F207" s="245"/>
      <c r="G207" s="7"/>
    </row>
    <row r="208" spans="1:7" ht="13.8" hidden="1" thickBot="1" x14ac:dyDescent="0.3">
      <c r="A208" s="11" t="e">
        <f>+#REF!</f>
        <v>#REF!</v>
      </c>
      <c r="B208" s="200" t="s">
        <v>10</v>
      </c>
      <c r="C208" s="292" t="e">
        <f>#REF!+E54</f>
        <v>#REF!</v>
      </c>
      <c r="D208" s="238"/>
      <c r="E208" s="263" t="e">
        <f>C208*D208</f>
        <v>#REF!</v>
      </c>
      <c r="F208" s="245"/>
      <c r="G208" s="7"/>
    </row>
    <row r="209" spans="1:7" ht="13.8" hidden="1" thickBot="1" x14ac:dyDescent="0.3">
      <c r="D209" s="235" t="s">
        <v>204</v>
      </c>
      <c r="E209" s="263">
        <f>$B$68</f>
        <v>1</v>
      </c>
      <c r="F209" s="280" t="e">
        <f>SUM(E207:E208)*E209</f>
        <v>#REF!</v>
      </c>
      <c r="G209" s="7"/>
    </row>
    <row r="210" spans="1:7" ht="13.8" hidden="1" thickBot="1" x14ac:dyDescent="0.3">
      <c r="G210" s="7"/>
    </row>
    <row r="211" spans="1:7" ht="13.8" thickBot="1" x14ac:dyDescent="0.3">
      <c r="A211" s="12" t="s">
        <v>97</v>
      </c>
      <c r="B211" s="204"/>
      <c r="C211" s="204"/>
      <c r="D211" s="226"/>
      <c r="E211" s="264"/>
      <c r="F211" s="280">
        <f>F154+F203</f>
        <v>1868.4293200000002</v>
      </c>
      <c r="G211" s="7"/>
    </row>
    <row r="213" spans="1:7" x14ac:dyDescent="0.25">
      <c r="A213" s="9" t="s">
        <v>47</v>
      </c>
      <c r="G213" s="7"/>
    </row>
    <row r="214" spans="1:7" ht="11.25" customHeight="1" x14ac:dyDescent="0.25">
      <c r="G214" s="7"/>
    </row>
    <row r="215" spans="1:7" ht="13.95" hidden="1" customHeight="1" x14ac:dyDescent="0.25">
      <c r="A215" s="7" t="s">
        <v>206</v>
      </c>
      <c r="G215" s="7"/>
    </row>
    <row r="216" spans="1:7" ht="11.25" hidden="1" customHeight="1" thickBot="1" x14ac:dyDescent="0.3">
      <c r="G216" s="7"/>
    </row>
    <row r="217" spans="1:7" ht="27.75" hidden="1" customHeight="1" thickBot="1" x14ac:dyDescent="0.3">
      <c r="A217" s="23" t="s">
        <v>66</v>
      </c>
      <c r="B217" s="198" t="s">
        <v>67</v>
      </c>
      <c r="C217" s="293" t="s">
        <v>273</v>
      </c>
      <c r="D217" s="231" t="s">
        <v>252</v>
      </c>
      <c r="E217" s="231" t="s">
        <v>68</v>
      </c>
      <c r="F217" s="276" t="s">
        <v>69</v>
      </c>
      <c r="G217" s="7"/>
    </row>
    <row r="218" spans="1:7" hidden="1" x14ac:dyDescent="0.25">
      <c r="A218" s="10" t="s">
        <v>70</v>
      </c>
      <c r="B218" s="199" t="s">
        <v>10</v>
      </c>
      <c r="C218" s="294"/>
      <c r="D218" s="232">
        <v>65</v>
      </c>
      <c r="E218" s="232">
        <f>IFERROR(D218/C218,0)</f>
        <v>0</v>
      </c>
      <c r="G218" s="7"/>
    </row>
    <row r="219" spans="1:7" ht="13.2" hidden="1" customHeight="1" x14ac:dyDescent="0.25">
      <c r="A219" s="11" t="s">
        <v>30</v>
      </c>
      <c r="B219" s="200" t="s">
        <v>10</v>
      </c>
      <c r="C219" s="294">
        <v>2</v>
      </c>
      <c r="D219" s="232">
        <v>35</v>
      </c>
      <c r="E219" s="232">
        <f t="shared" ref="E219:E227" si="4">IFERROR(D219/C219,0)</f>
        <v>17.5</v>
      </c>
      <c r="G219" s="7"/>
    </row>
    <row r="220" spans="1:7" hidden="1" x14ac:dyDescent="0.25">
      <c r="A220" s="11" t="s">
        <v>31</v>
      </c>
      <c r="B220" s="200" t="s">
        <v>10</v>
      </c>
      <c r="C220" s="294">
        <v>1</v>
      </c>
      <c r="D220" s="232">
        <v>30</v>
      </c>
      <c r="E220" s="232">
        <f t="shared" si="4"/>
        <v>30</v>
      </c>
      <c r="G220" s="7"/>
    </row>
    <row r="221" spans="1:7" ht="13.2" hidden="1" customHeight="1" x14ac:dyDescent="0.25">
      <c r="A221" s="11" t="s">
        <v>32</v>
      </c>
      <c r="B221" s="200" t="s">
        <v>10</v>
      </c>
      <c r="C221" s="294">
        <v>3</v>
      </c>
      <c r="D221" s="232">
        <v>14</v>
      </c>
      <c r="E221" s="232">
        <f t="shared" si="4"/>
        <v>4.666666666666667</v>
      </c>
      <c r="G221" s="7"/>
    </row>
    <row r="222" spans="1:7" ht="13.95" hidden="1" customHeight="1" x14ac:dyDescent="0.25">
      <c r="A222" s="11" t="s">
        <v>72</v>
      </c>
      <c r="B222" s="200" t="s">
        <v>50</v>
      </c>
      <c r="C222" s="294">
        <v>2</v>
      </c>
      <c r="D222" s="232">
        <v>64</v>
      </c>
      <c r="E222" s="232">
        <f t="shared" si="4"/>
        <v>32</v>
      </c>
      <c r="G222" s="7"/>
    </row>
    <row r="223" spans="1:7" ht="13.2" hidden="1" customHeight="1" x14ac:dyDescent="0.25">
      <c r="A223" s="11" t="s">
        <v>98</v>
      </c>
      <c r="B223" s="200" t="s">
        <v>50</v>
      </c>
      <c r="C223" s="294">
        <v>2</v>
      </c>
      <c r="D223" s="232">
        <v>10</v>
      </c>
      <c r="E223" s="232">
        <f t="shared" si="4"/>
        <v>5</v>
      </c>
    </row>
    <row r="224" spans="1:7" hidden="1" x14ac:dyDescent="0.25">
      <c r="A224" s="11" t="s">
        <v>71</v>
      </c>
      <c r="B224" s="200" t="s">
        <v>10</v>
      </c>
      <c r="C224" s="294">
        <v>6</v>
      </c>
      <c r="D224" s="232">
        <v>68</v>
      </c>
      <c r="E224" s="232">
        <f t="shared" si="4"/>
        <v>11.333333333333334</v>
      </c>
    </row>
    <row r="225" spans="1:7" s="1" customFormat="1" hidden="1" x14ac:dyDescent="0.25">
      <c r="A225" s="2" t="s">
        <v>11</v>
      </c>
      <c r="B225" s="205" t="s">
        <v>10</v>
      </c>
      <c r="C225" s="294"/>
      <c r="D225" s="232">
        <v>26.45</v>
      </c>
      <c r="E225" s="232">
        <f t="shared" si="4"/>
        <v>0</v>
      </c>
      <c r="F225" s="281"/>
      <c r="G225" s="15"/>
    </row>
    <row r="226" spans="1:7" hidden="1" x14ac:dyDescent="0.25">
      <c r="A226" s="11" t="s">
        <v>33</v>
      </c>
      <c r="B226" s="200" t="s">
        <v>50</v>
      </c>
      <c r="C226" s="294">
        <v>1</v>
      </c>
      <c r="D226" s="232">
        <v>18.989999999999998</v>
      </c>
      <c r="E226" s="232">
        <f t="shared" si="4"/>
        <v>18.989999999999998</v>
      </c>
    </row>
    <row r="227" spans="1:7" ht="13.2" hidden="1" customHeight="1" x14ac:dyDescent="0.25">
      <c r="A227" s="11" t="s">
        <v>65</v>
      </c>
      <c r="B227" s="200" t="s">
        <v>51</v>
      </c>
      <c r="C227" s="294">
        <v>1</v>
      </c>
      <c r="D227" s="232">
        <v>16</v>
      </c>
      <c r="E227" s="232">
        <f t="shared" si="4"/>
        <v>16</v>
      </c>
    </row>
    <row r="228" spans="1:7" hidden="1" x14ac:dyDescent="0.25">
      <c r="A228" s="11" t="s">
        <v>207</v>
      </c>
      <c r="B228" s="200" t="s">
        <v>129</v>
      </c>
      <c r="C228" s="290">
        <v>1</v>
      </c>
      <c r="D228" s="232"/>
      <c r="E228" s="233">
        <f t="shared" ref="E228:E229" si="5">C228*D228</f>
        <v>0</v>
      </c>
    </row>
    <row r="229" spans="1:7" ht="13.8" hidden="1" thickBot="1" x14ac:dyDescent="0.3">
      <c r="A229" s="11" t="s">
        <v>5</v>
      </c>
      <c r="B229" s="200" t="s">
        <v>6</v>
      </c>
      <c r="C229" s="290">
        <f>E52+E53</f>
        <v>0</v>
      </c>
      <c r="D229" s="233">
        <f>+SUM(E218:E228)</f>
        <v>135.48999999999998</v>
      </c>
      <c r="E229" s="233">
        <f t="shared" si="5"/>
        <v>0</v>
      </c>
    </row>
    <row r="230" spans="1:7" ht="13.8" hidden="1" thickBot="1" x14ac:dyDescent="0.3">
      <c r="D230" s="235" t="s">
        <v>204</v>
      </c>
      <c r="E230" s="263">
        <f>$B$68</f>
        <v>1</v>
      </c>
      <c r="F230" s="277">
        <f>E229*E230</f>
        <v>0</v>
      </c>
    </row>
    <row r="231" spans="1:7" ht="11.25" hidden="1" customHeight="1" x14ac:dyDescent="0.25"/>
    <row r="232" spans="1:7" ht="13.95" customHeight="1" x14ac:dyDescent="0.25">
      <c r="A232" s="5" t="s">
        <v>343</v>
      </c>
    </row>
    <row r="233" spans="1:7" ht="11.25" customHeight="1" thickBot="1" x14ac:dyDescent="0.3"/>
    <row r="234" spans="1:7" ht="24.6" thickBot="1" x14ac:dyDescent="0.3">
      <c r="A234" s="23" t="s">
        <v>66</v>
      </c>
      <c r="B234" s="198" t="s">
        <v>67</v>
      </c>
      <c r="C234" s="293" t="s">
        <v>273</v>
      </c>
      <c r="D234" s="231" t="s">
        <v>252</v>
      </c>
      <c r="E234" s="231" t="s">
        <v>68</v>
      </c>
      <c r="F234" s="276" t="s">
        <v>69</v>
      </c>
    </row>
    <row r="235" spans="1:7" hidden="1" x14ac:dyDescent="0.25">
      <c r="A235" s="10" t="s">
        <v>70</v>
      </c>
      <c r="B235" s="199" t="s">
        <v>10</v>
      </c>
      <c r="C235" s="294"/>
      <c r="D235" s="232">
        <f>+D218</f>
        <v>65</v>
      </c>
      <c r="E235" s="232">
        <f>IFERROR(D235/C235,0)</f>
        <v>0</v>
      </c>
    </row>
    <row r="236" spans="1:7" x14ac:dyDescent="0.25">
      <c r="A236" s="11" t="s">
        <v>30</v>
      </c>
      <c r="B236" s="200" t="s">
        <v>10</v>
      </c>
      <c r="C236" s="294">
        <v>3</v>
      </c>
      <c r="D236" s="233">
        <v>25</v>
      </c>
      <c r="E236" s="232">
        <f t="shared" ref="E236:E240" si="6">IFERROR(D236/C236,0)</f>
        <v>8.3333333333333339</v>
      </c>
    </row>
    <row r="237" spans="1:7" x14ac:dyDescent="0.25">
      <c r="A237" s="11" t="s">
        <v>31</v>
      </c>
      <c r="B237" s="200" t="s">
        <v>10</v>
      </c>
      <c r="C237" s="294">
        <v>2</v>
      </c>
      <c r="D237" s="233">
        <v>20</v>
      </c>
      <c r="E237" s="232">
        <f t="shared" si="6"/>
        <v>10</v>
      </c>
    </row>
    <row r="238" spans="1:7" x14ac:dyDescent="0.25">
      <c r="A238" s="11" t="s">
        <v>72</v>
      </c>
      <c r="B238" s="200" t="s">
        <v>50</v>
      </c>
      <c r="C238" s="294">
        <v>3</v>
      </c>
      <c r="D238" s="233">
        <v>40</v>
      </c>
      <c r="E238" s="232">
        <f t="shared" si="6"/>
        <v>13.333333333333334</v>
      </c>
    </row>
    <row r="239" spans="1:7" x14ac:dyDescent="0.25">
      <c r="A239" s="11" t="s">
        <v>71</v>
      </c>
      <c r="B239" s="200" t="s">
        <v>10</v>
      </c>
      <c r="C239" s="294">
        <v>6</v>
      </c>
      <c r="D239" s="233">
        <v>52</v>
      </c>
      <c r="E239" s="232">
        <f t="shared" si="6"/>
        <v>8.6666666666666661</v>
      </c>
      <c r="G239" s="7"/>
    </row>
    <row r="240" spans="1:7" x14ac:dyDescent="0.25">
      <c r="A240" s="11" t="s">
        <v>65</v>
      </c>
      <c r="B240" s="200" t="s">
        <v>51</v>
      </c>
      <c r="C240" s="294">
        <v>3</v>
      </c>
      <c r="D240" s="233">
        <v>20</v>
      </c>
      <c r="E240" s="232">
        <f t="shared" si="6"/>
        <v>6.666666666666667</v>
      </c>
      <c r="G240" s="7"/>
    </row>
    <row r="241" spans="1:10" hidden="1" x14ac:dyDescent="0.25">
      <c r="A241" s="11" t="s">
        <v>207</v>
      </c>
      <c r="B241" s="200" t="s">
        <v>129</v>
      </c>
      <c r="C241" s="290">
        <v>1</v>
      </c>
      <c r="D241" s="232"/>
      <c r="E241" s="233">
        <f t="shared" ref="E241:E242" si="7">C241*D241</f>
        <v>0</v>
      </c>
      <c r="G241" s="7"/>
    </row>
    <row r="242" spans="1:10" ht="13.8" thickBot="1" x14ac:dyDescent="0.3">
      <c r="A242" s="11" t="s">
        <v>5</v>
      </c>
      <c r="B242" s="200" t="s">
        <v>6</v>
      </c>
      <c r="C242" s="304">
        <v>1</v>
      </c>
      <c r="D242" s="233">
        <f>+SUM(E235:E241)</f>
        <v>47</v>
      </c>
      <c r="E242" s="233">
        <f t="shared" si="7"/>
        <v>47</v>
      </c>
      <c r="G242" s="7"/>
    </row>
    <row r="243" spans="1:10" ht="13.8" thickBot="1" x14ac:dyDescent="0.3">
      <c r="D243" s="235" t="s">
        <v>204</v>
      </c>
      <c r="E243" s="263">
        <f>$B$68</f>
        <v>1</v>
      </c>
      <c r="F243" s="277">
        <f>E242*E243</f>
        <v>47</v>
      </c>
      <c r="G243" s="7"/>
    </row>
    <row r="244" spans="1:10" ht="11.25" customHeight="1" thickBot="1" x14ac:dyDescent="0.3">
      <c r="G244" s="7"/>
    </row>
    <row r="245" spans="1:10" ht="13.8" thickBot="1" x14ac:dyDescent="0.3">
      <c r="A245" s="12" t="s">
        <v>208</v>
      </c>
      <c r="B245" s="206"/>
      <c r="C245" s="206"/>
      <c r="D245" s="239"/>
      <c r="E245" s="265"/>
      <c r="F245" s="282">
        <f>+F230+F243</f>
        <v>47</v>
      </c>
      <c r="G245" s="7"/>
    </row>
    <row r="246" spans="1:10" ht="11.25" customHeight="1" x14ac:dyDescent="0.25">
      <c r="G246" s="7"/>
    </row>
    <row r="247" spans="1:10" x14ac:dyDescent="0.25">
      <c r="A247" s="9" t="s">
        <v>56</v>
      </c>
      <c r="G247" s="7"/>
    </row>
    <row r="248" spans="1:10" ht="11.25" customHeight="1" x14ac:dyDescent="0.25">
      <c r="B248" s="207"/>
      <c r="G248" s="7"/>
    </row>
    <row r="249" spans="1:10" hidden="1" x14ac:dyDescent="0.25">
      <c r="A249" s="5" t="s">
        <v>305</v>
      </c>
      <c r="G249" s="7"/>
    </row>
    <row r="250" spans="1:10" ht="11.25" hidden="1" customHeight="1" x14ac:dyDescent="0.25">
      <c r="G250" s="7"/>
    </row>
    <row r="251" spans="1:10" ht="13.8" hidden="1" thickBot="1" x14ac:dyDescent="0.3">
      <c r="A251" s="33" t="s">
        <v>48</v>
      </c>
      <c r="G251" s="7"/>
    </row>
    <row r="252" spans="1:10" ht="13.8" hidden="1" thickBot="1" x14ac:dyDescent="0.3">
      <c r="A252" s="23" t="s">
        <v>66</v>
      </c>
      <c r="B252" s="198" t="s">
        <v>67</v>
      </c>
      <c r="C252" s="198" t="s">
        <v>42</v>
      </c>
      <c r="D252" s="231" t="s">
        <v>252</v>
      </c>
      <c r="E252" s="231" t="s">
        <v>68</v>
      </c>
      <c r="F252" s="276" t="s">
        <v>69</v>
      </c>
      <c r="G252" s="7"/>
    </row>
    <row r="253" spans="1:10" hidden="1" x14ac:dyDescent="0.25">
      <c r="A253" s="10" t="s">
        <v>113</v>
      </c>
      <c r="B253" s="199" t="s">
        <v>10</v>
      </c>
      <c r="C253" s="199">
        <v>1</v>
      </c>
      <c r="D253" s="232">
        <v>150000</v>
      </c>
      <c r="E253" s="232">
        <f>C253*D253</f>
        <v>150000</v>
      </c>
      <c r="G253" s="7"/>
    </row>
    <row r="254" spans="1:10" hidden="1" x14ac:dyDescent="0.25">
      <c r="A254" s="11" t="s">
        <v>107</v>
      </c>
      <c r="B254" s="200" t="s">
        <v>108</v>
      </c>
      <c r="C254" s="200">
        <v>5</v>
      </c>
      <c r="D254" s="233"/>
      <c r="E254" s="233"/>
      <c r="G254" s="7"/>
    </row>
    <row r="255" spans="1:10" hidden="1" x14ac:dyDescent="0.25">
      <c r="A255" s="11" t="s">
        <v>221</v>
      </c>
      <c r="B255" s="200" t="s">
        <v>108</v>
      </c>
      <c r="C255" s="200">
        <v>3</v>
      </c>
      <c r="D255" s="233"/>
      <c r="E255" s="233"/>
      <c r="F255" s="283"/>
      <c r="I255" s="31"/>
      <c r="J255" s="31"/>
    </row>
    <row r="256" spans="1:10" hidden="1" x14ac:dyDescent="0.25">
      <c r="A256" s="11" t="s">
        <v>111</v>
      </c>
      <c r="B256" s="200" t="s">
        <v>2</v>
      </c>
      <c r="C256" s="233">
        <f>IFERROR(VLOOKUP(C254,'5. Depreciação'!A3:B17,2,FALSE),0)</f>
        <v>55.679999999999993</v>
      </c>
      <c r="D256" s="233">
        <f>E253</f>
        <v>150000</v>
      </c>
      <c r="E256" s="233">
        <f>C256*D256/100</f>
        <v>83519.999999999985</v>
      </c>
    </row>
    <row r="257" spans="1:10" ht="13.8" hidden="1" thickBot="1" x14ac:dyDescent="0.3">
      <c r="A257" s="158" t="s">
        <v>52</v>
      </c>
      <c r="B257" s="208" t="s">
        <v>8</v>
      </c>
      <c r="C257" s="208">
        <f>C254*12</f>
        <v>60</v>
      </c>
      <c r="D257" s="240">
        <f>IF(C255&lt;=C254,E256,0)</f>
        <v>83519.999999999985</v>
      </c>
      <c r="E257" s="240">
        <f>IFERROR(D257/C257,0)</f>
        <v>1391.9999999999998</v>
      </c>
    </row>
    <row r="258" spans="1:10" ht="13.8" hidden="1" thickTop="1" x14ac:dyDescent="0.25">
      <c r="A258" s="10" t="s">
        <v>112</v>
      </c>
      <c r="B258" s="199" t="s">
        <v>10</v>
      </c>
      <c r="C258" s="199">
        <f>C253</f>
        <v>1</v>
      </c>
      <c r="D258" s="232">
        <v>75000</v>
      </c>
      <c r="E258" s="232">
        <f>C258*D258</f>
        <v>75000</v>
      </c>
      <c r="G258" s="7"/>
    </row>
    <row r="259" spans="1:10" hidden="1" x14ac:dyDescent="0.25">
      <c r="A259" s="11" t="s">
        <v>109</v>
      </c>
      <c r="B259" s="200" t="s">
        <v>108</v>
      </c>
      <c r="C259" s="200">
        <v>5</v>
      </c>
      <c r="D259" s="233"/>
      <c r="E259" s="233"/>
    </row>
    <row r="260" spans="1:10" hidden="1" x14ac:dyDescent="0.25">
      <c r="A260" s="11" t="s">
        <v>222</v>
      </c>
      <c r="B260" s="200" t="s">
        <v>108</v>
      </c>
      <c r="C260" s="200">
        <v>3</v>
      </c>
      <c r="D260" s="233"/>
      <c r="E260" s="233"/>
      <c r="F260" s="283"/>
      <c r="I260" s="31"/>
      <c r="J260" s="31"/>
    </row>
    <row r="261" spans="1:10" hidden="1" x14ac:dyDescent="0.25">
      <c r="A261" s="11" t="s">
        <v>110</v>
      </c>
      <c r="B261" s="200" t="s">
        <v>2</v>
      </c>
      <c r="C261" s="263">
        <f>IFERROR(VLOOKUP(C259,'5. Depreciação'!A3:B17,2,FALSE),0)</f>
        <v>55.679999999999993</v>
      </c>
      <c r="D261" s="233">
        <f>E258</f>
        <v>75000</v>
      </c>
      <c r="E261" s="233">
        <f>C261*D261/100</f>
        <v>41759.999999999993</v>
      </c>
    </row>
    <row r="262" spans="1:10" hidden="1" x14ac:dyDescent="0.25">
      <c r="A262" s="32" t="s">
        <v>114</v>
      </c>
      <c r="B262" s="209" t="s">
        <v>8</v>
      </c>
      <c r="C262" s="209">
        <f>C259*12</f>
        <v>60</v>
      </c>
      <c r="D262" s="241">
        <f>IF(C260&lt;=C259,E261,0)</f>
        <v>41759.999999999993</v>
      </c>
      <c r="E262" s="241">
        <f>IFERROR(D262/C262,0)</f>
        <v>695.99999999999989</v>
      </c>
    </row>
    <row r="263" spans="1:10" hidden="1" x14ac:dyDescent="0.25">
      <c r="A263" s="37" t="s">
        <v>276</v>
      </c>
      <c r="B263" s="201"/>
      <c r="C263" s="201"/>
      <c r="D263" s="234"/>
      <c r="E263" s="262">
        <f>E257+E262</f>
        <v>2087.9999999999995</v>
      </c>
    </row>
    <row r="264" spans="1:10" ht="13.8" hidden="1" thickBot="1" x14ac:dyDescent="0.3">
      <c r="A264" s="32" t="s">
        <v>277</v>
      </c>
      <c r="B264" s="209" t="s">
        <v>10</v>
      </c>
      <c r="C264" s="200"/>
      <c r="D264" s="241">
        <f>E263</f>
        <v>2087.9999999999995</v>
      </c>
      <c r="E264" s="262">
        <f>C264*D264</f>
        <v>0</v>
      </c>
    </row>
    <row r="265" spans="1:10" ht="13.8" hidden="1" thickBot="1" x14ac:dyDescent="0.3">
      <c r="A265" s="153"/>
      <c r="B265" s="210"/>
      <c r="C265" s="210"/>
      <c r="D265" s="235" t="s">
        <v>204</v>
      </c>
      <c r="E265" s="263">
        <f>$B$68</f>
        <v>1</v>
      </c>
      <c r="F265" s="282">
        <f>E264*E265</f>
        <v>0</v>
      </c>
    </row>
    <row r="266" spans="1:10" ht="11.25" hidden="1" customHeight="1" x14ac:dyDescent="0.25"/>
    <row r="267" spans="1:10" ht="13.8" hidden="1" thickBot="1" x14ac:dyDescent="0.3">
      <c r="A267" s="33" t="s">
        <v>119</v>
      </c>
    </row>
    <row r="268" spans="1:10" ht="13.8" hidden="1" thickBot="1" x14ac:dyDescent="0.3">
      <c r="A268" s="35" t="s">
        <v>66</v>
      </c>
      <c r="B268" s="211" t="s">
        <v>67</v>
      </c>
      <c r="C268" s="211" t="s">
        <v>42</v>
      </c>
      <c r="D268" s="231" t="s">
        <v>252</v>
      </c>
      <c r="E268" s="266" t="s">
        <v>68</v>
      </c>
      <c r="F268" s="276" t="s">
        <v>69</v>
      </c>
      <c r="I268" s="31"/>
      <c r="J268" s="31"/>
    </row>
    <row r="269" spans="1:10" hidden="1" x14ac:dyDescent="0.25">
      <c r="A269" s="11" t="s">
        <v>117</v>
      </c>
      <c r="B269" s="200" t="s">
        <v>10</v>
      </c>
      <c r="C269" s="199">
        <v>1</v>
      </c>
      <c r="D269" s="233">
        <f>D253</f>
        <v>150000</v>
      </c>
      <c r="E269" s="233">
        <f>C269*D269</f>
        <v>150000</v>
      </c>
      <c r="F269" s="283"/>
      <c r="I269" s="31"/>
      <c r="J269" s="31"/>
    </row>
    <row r="270" spans="1:10" hidden="1" x14ac:dyDescent="0.25">
      <c r="A270" s="11" t="s">
        <v>225</v>
      </c>
      <c r="B270" s="200" t="s">
        <v>2</v>
      </c>
      <c r="C270" s="200">
        <v>6</v>
      </c>
      <c r="D270" s="233"/>
      <c r="E270" s="233"/>
      <c r="F270" s="283"/>
      <c r="I270" s="31"/>
      <c r="J270" s="31"/>
    </row>
    <row r="271" spans="1:10" hidden="1" x14ac:dyDescent="0.25">
      <c r="A271" s="11" t="s">
        <v>223</v>
      </c>
      <c r="B271" s="200" t="s">
        <v>35</v>
      </c>
      <c r="C271" s="295">
        <f>IFERROR(IF(C255&lt;=C254,E253-(C256/(100*C254)*C255)*E253,E253-E256),0)</f>
        <v>99888</v>
      </c>
      <c r="D271" s="233"/>
      <c r="E271" s="233"/>
      <c r="F271" s="283"/>
      <c r="I271" s="31"/>
      <c r="J271" s="31"/>
    </row>
    <row r="272" spans="1:10" hidden="1" x14ac:dyDescent="0.25">
      <c r="A272" s="11" t="s">
        <v>122</v>
      </c>
      <c r="B272" s="200" t="s">
        <v>35</v>
      </c>
      <c r="C272" s="233">
        <f>IFERROR(IF(C255&gt;=C254,C271,((((C271)-(E253-E256))*(((C254-C255)+1)/(2*(C254-C255))))+(E253-E256))),0)</f>
        <v>91536</v>
      </c>
      <c r="D272" s="233"/>
      <c r="E272" s="233"/>
      <c r="F272" s="283"/>
      <c r="I272" s="31"/>
      <c r="J272" s="31"/>
    </row>
    <row r="273" spans="1:10" ht="13.8" hidden="1" thickBot="1" x14ac:dyDescent="0.3">
      <c r="A273" s="158" t="s">
        <v>123</v>
      </c>
      <c r="B273" s="208" t="s">
        <v>35</v>
      </c>
      <c r="C273" s="208"/>
      <c r="D273" s="240">
        <f>C270*C272/12/100</f>
        <v>457.68</v>
      </c>
      <c r="E273" s="240">
        <f>D273</f>
        <v>457.68</v>
      </c>
      <c r="F273" s="283"/>
      <c r="I273" s="31"/>
      <c r="J273" s="31"/>
    </row>
    <row r="274" spans="1:10" ht="13.8" hidden="1" thickTop="1" x14ac:dyDescent="0.25">
      <c r="A274" s="10" t="s">
        <v>118</v>
      </c>
      <c r="B274" s="199" t="s">
        <v>10</v>
      </c>
      <c r="C274" s="199">
        <f>C258</f>
        <v>1</v>
      </c>
      <c r="D274" s="232">
        <f>D258</f>
        <v>75000</v>
      </c>
      <c r="E274" s="232">
        <f>C274*D274</f>
        <v>75000</v>
      </c>
      <c r="F274" s="283"/>
      <c r="I274" s="31"/>
      <c r="J274" s="31"/>
    </row>
    <row r="275" spans="1:10" hidden="1" x14ac:dyDescent="0.25">
      <c r="A275" s="11" t="s">
        <v>225</v>
      </c>
      <c r="B275" s="200" t="s">
        <v>2</v>
      </c>
      <c r="C275" s="200">
        <f>C270</f>
        <v>6</v>
      </c>
      <c r="D275" s="233"/>
      <c r="E275" s="233"/>
      <c r="F275" s="283"/>
      <c r="I275" s="31"/>
      <c r="J275" s="31"/>
    </row>
    <row r="276" spans="1:10" hidden="1" x14ac:dyDescent="0.25">
      <c r="A276" s="11" t="s">
        <v>224</v>
      </c>
      <c r="B276" s="200" t="s">
        <v>35</v>
      </c>
      <c r="C276" s="295">
        <f>IFERROR(IF(C260&lt;=C259,E258-(C261/(100*C259)*C260)*E258,E258-E261),0)</f>
        <v>49944</v>
      </c>
      <c r="D276" s="233"/>
      <c r="E276" s="233"/>
      <c r="F276" s="283"/>
      <c r="I276" s="31"/>
      <c r="J276" s="31"/>
    </row>
    <row r="277" spans="1:10" hidden="1" x14ac:dyDescent="0.25">
      <c r="A277" s="11" t="s">
        <v>124</v>
      </c>
      <c r="B277" s="200" t="s">
        <v>35</v>
      </c>
      <c r="C277" s="233">
        <f>IFERROR(IF(C260&gt;=C259,C276,((((C276)-(E258-E261))*(((C259-C260)+1)/(2*(C259-C260))))+(E258-E261))),0)</f>
        <v>45768</v>
      </c>
      <c r="D277" s="233"/>
      <c r="E277" s="233"/>
      <c r="F277" s="283"/>
      <c r="I277" s="31"/>
      <c r="J277" s="31"/>
    </row>
    <row r="278" spans="1:10" hidden="1" x14ac:dyDescent="0.25">
      <c r="A278" s="32" t="s">
        <v>121</v>
      </c>
      <c r="B278" s="209" t="s">
        <v>35</v>
      </c>
      <c r="C278" s="209"/>
      <c r="D278" s="241">
        <f>C275*C277/12/100</f>
        <v>228.84</v>
      </c>
      <c r="E278" s="241">
        <f>D278</f>
        <v>228.84</v>
      </c>
      <c r="F278" s="283"/>
      <c r="I278" s="31"/>
      <c r="J278" s="31"/>
    </row>
    <row r="279" spans="1:10" hidden="1" x14ac:dyDescent="0.25">
      <c r="A279" s="37" t="s">
        <v>276</v>
      </c>
      <c r="B279" s="201"/>
      <c r="C279" s="201"/>
      <c r="D279" s="234"/>
      <c r="E279" s="262">
        <f>E273+E278</f>
        <v>686.52</v>
      </c>
      <c r="F279" s="283"/>
      <c r="I279" s="31"/>
      <c r="J279" s="31"/>
    </row>
    <row r="280" spans="1:10" ht="13.8" hidden="1" thickBot="1" x14ac:dyDescent="0.3">
      <c r="A280" s="32" t="s">
        <v>277</v>
      </c>
      <c r="B280" s="209" t="s">
        <v>10</v>
      </c>
      <c r="C280" s="200">
        <f>C264</f>
        <v>0</v>
      </c>
      <c r="D280" s="241">
        <f>E279</f>
        <v>686.52</v>
      </c>
      <c r="E280" s="262">
        <f>C280*D280</f>
        <v>0</v>
      </c>
      <c r="F280" s="283"/>
      <c r="I280" s="31"/>
      <c r="J280" s="31"/>
    </row>
    <row r="281" spans="1:10" ht="13.8" hidden="1" thickBot="1" x14ac:dyDescent="0.3">
      <c r="C281" s="296"/>
      <c r="D281" s="235" t="s">
        <v>204</v>
      </c>
      <c r="E281" s="263">
        <f>$B$68</f>
        <v>1</v>
      </c>
      <c r="F281" s="282">
        <f>E280*E281</f>
        <v>0</v>
      </c>
      <c r="I281" s="31"/>
      <c r="J281" s="31"/>
    </row>
    <row r="282" spans="1:10" ht="11.25" hidden="1" customHeight="1" x14ac:dyDescent="0.25">
      <c r="I282" s="31"/>
      <c r="J282" s="31"/>
    </row>
    <row r="283" spans="1:10" ht="13.8" hidden="1" thickBot="1" x14ac:dyDescent="0.3">
      <c r="A283" s="7" t="s">
        <v>53</v>
      </c>
      <c r="I283" s="31"/>
      <c r="J283" s="31"/>
    </row>
    <row r="284" spans="1:10" ht="13.8" hidden="1" thickBot="1" x14ac:dyDescent="0.3">
      <c r="A284" s="23" t="s">
        <v>66</v>
      </c>
      <c r="B284" s="198" t="s">
        <v>67</v>
      </c>
      <c r="C284" s="198" t="s">
        <v>42</v>
      </c>
      <c r="D284" s="231" t="s">
        <v>252</v>
      </c>
      <c r="E284" s="231" t="s">
        <v>68</v>
      </c>
      <c r="F284" s="276" t="s">
        <v>69</v>
      </c>
      <c r="I284" s="31"/>
      <c r="J284" s="31"/>
    </row>
    <row r="285" spans="1:10" hidden="1" x14ac:dyDescent="0.25">
      <c r="A285" s="10" t="s">
        <v>12</v>
      </c>
      <c r="B285" s="199" t="s">
        <v>10</v>
      </c>
      <c r="C285" s="232">
        <f>C264</f>
        <v>0</v>
      </c>
      <c r="D285" s="232">
        <f>0.01*($E$253)</f>
        <v>1500</v>
      </c>
      <c r="E285" s="232">
        <f>C285*D285</f>
        <v>0</v>
      </c>
      <c r="I285" s="31"/>
      <c r="J285" s="31"/>
    </row>
    <row r="286" spans="1:10" hidden="1" x14ac:dyDescent="0.25">
      <c r="A286" s="11" t="s">
        <v>203</v>
      </c>
      <c r="B286" s="200" t="s">
        <v>10</v>
      </c>
      <c r="C286" s="232">
        <f>C264</f>
        <v>0</v>
      </c>
      <c r="D286" s="233">
        <v>150</v>
      </c>
      <c r="E286" s="233">
        <f>C286*D286</f>
        <v>0</v>
      </c>
      <c r="I286" s="31"/>
      <c r="J286" s="31"/>
    </row>
    <row r="287" spans="1:10" hidden="1" x14ac:dyDescent="0.25">
      <c r="A287" s="11" t="s">
        <v>13</v>
      </c>
      <c r="B287" s="200" t="s">
        <v>10</v>
      </c>
      <c r="C287" s="232">
        <f>C264</f>
        <v>0</v>
      </c>
      <c r="D287" s="233"/>
      <c r="E287" s="233">
        <f>C287*D287</f>
        <v>0</v>
      </c>
      <c r="F287" s="279"/>
      <c r="I287" s="31"/>
      <c r="J287" s="31"/>
    </row>
    <row r="288" spans="1:10" ht="13.8" hidden="1" thickBot="1" x14ac:dyDescent="0.3">
      <c r="A288" s="32" t="s">
        <v>14</v>
      </c>
      <c r="B288" s="209" t="s">
        <v>8</v>
      </c>
      <c r="C288" s="209">
        <v>12</v>
      </c>
      <c r="D288" s="241">
        <f>SUM(E285:E287)</f>
        <v>0</v>
      </c>
      <c r="E288" s="241">
        <f>D288/C288</f>
        <v>0</v>
      </c>
      <c r="I288" s="31"/>
      <c r="J288" s="31"/>
    </row>
    <row r="289" spans="1:10" ht="13.8" hidden="1" thickBot="1" x14ac:dyDescent="0.3">
      <c r="D289" s="235" t="s">
        <v>204</v>
      </c>
      <c r="E289" s="263">
        <f>$B$68</f>
        <v>1</v>
      </c>
      <c r="F289" s="277">
        <f>E288*E289</f>
        <v>0</v>
      </c>
      <c r="I289" s="31"/>
      <c r="J289" s="31"/>
    </row>
    <row r="290" spans="1:10" ht="11.25" hidden="1" customHeight="1" x14ac:dyDescent="0.25">
      <c r="I290" s="31"/>
      <c r="J290" s="31"/>
    </row>
    <row r="291" spans="1:10" hidden="1" x14ac:dyDescent="0.25">
      <c r="A291" s="7" t="s">
        <v>54</v>
      </c>
      <c r="B291" s="212"/>
      <c r="I291" s="31"/>
      <c r="J291" s="31"/>
    </row>
    <row r="292" spans="1:10" hidden="1" x14ac:dyDescent="0.25">
      <c r="B292" s="212"/>
      <c r="I292" s="31"/>
      <c r="J292" s="31"/>
    </row>
    <row r="293" spans="1:10" hidden="1" x14ac:dyDescent="0.25">
      <c r="A293" s="32" t="s">
        <v>126</v>
      </c>
      <c r="B293" s="213"/>
      <c r="I293" s="31"/>
      <c r="J293" s="31"/>
    </row>
    <row r="294" spans="1:10" ht="13.8" hidden="1" thickBot="1" x14ac:dyDescent="0.3">
      <c r="B294" s="212"/>
      <c r="I294" s="31"/>
      <c r="J294" s="31"/>
    </row>
    <row r="295" spans="1:10" ht="13.8" hidden="1" thickBot="1" x14ac:dyDescent="0.3">
      <c r="A295" s="23" t="s">
        <v>66</v>
      </c>
      <c r="B295" s="198" t="s">
        <v>67</v>
      </c>
      <c r="C295" s="198" t="s">
        <v>275</v>
      </c>
      <c r="D295" s="231" t="s">
        <v>252</v>
      </c>
      <c r="E295" s="231" t="s">
        <v>68</v>
      </c>
      <c r="F295" s="276" t="s">
        <v>69</v>
      </c>
      <c r="I295" s="31"/>
      <c r="J295" s="31"/>
    </row>
    <row r="296" spans="1:10" hidden="1" x14ac:dyDescent="0.25">
      <c r="A296" s="10" t="s">
        <v>15</v>
      </c>
      <c r="B296" s="199" t="s">
        <v>16</v>
      </c>
      <c r="C296" s="297">
        <v>1.8</v>
      </c>
      <c r="D296" s="242">
        <v>3.75</v>
      </c>
      <c r="E296" s="232"/>
      <c r="I296" s="31"/>
      <c r="J296" s="31"/>
    </row>
    <row r="297" spans="1:10" hidden="1" x14ac:dyDescent="0.25">
      <c r="A297" s="11" t="s">
        <v>17</v>
      </c>
      <c r="B297" s="200" t="s">
        <v>18</v>
      </c>
      <c r="C297" s="291">
        <f>B293</f>
        <v>0</v>
      </c>
      <c r="D297" s="242">
        <f>IFERROR(+D296/C296,"-")</f>
        <v>2.0833333333333335</v>
      </c>
      <c r="E297" s="233">
        <f>IFERROR(C297*D297,"-")</f>
        <v>0</v>
      </c>
      <c r="I297" s="31"/>
      <c r="J297" s="31"/>
    </row>
    <row r="298" spans="1:10" hidden="1" x14ac:dyDescent="0.25">
      <c r="A298" s="11" t="s">
        <v>253</v>
      </c>
      <c r="B298" s="200" t="s">
        <v>19</v>
      </c>
      <c r="C298" s="298">
        <v>6</v>
      </c>
      <c r="D298" s="233">
        <v>16.8</v>
      </c>
      <c r="E298" s="233"/>
      <c r="G298" s="36"/>
      <c r="H298" s="20"/>
      <c r="I298" s="31"/>
      <c r="J298" s="31"/>
    </row>
    <row r="299" spans="1:10" hidden="1" x14ac:dyDescent="0.25">
      <c r="A299" s="11" t="s">
        <v>20</v>
      </c>
      <c r="B299" s="200" t="s">
        <v>18</v>
      </c>
      <c r="C299" s="291">
        <f>C297</f>
        <v>0</v>
      </c>
      <c r="D299" s="243">
        <f>+C298*D298/1000</f>
        <v>0.10080000000000001</v>
      </c>
      <c r="E299" s="233">
        <f>C299*D299</f>
        <v>0</v>
      </c>
      <c r="G299" s="36"/>
      <c r="H299" s="20"/>
      <c r="I299" s="31"/>
      <c r="J299" s="31"/>
    </row>
    <row r="300" spans="1:10" hidden="1" x14ac:dyDescent="0.25">
      <c r="A300" s="11" t="s">
        <v>254</v>
      </c>
      <c r="B300" s="200" t="s">
        <v>19</v>
      </c>
      <c r="C300" s="298">
        <v>0.85</v>
      </c>
      <c r="D300" s="233">
        <v>15.8</v>
      </c>
      <c r="E300" s="233"/>
      <c r="G300" s="36"/>
      <c r="H300" s="20"/>
      <c r="I300" s="31"/>
      <c r="J300" s="31"/>
    </row>
    <row r="301" spans="1:10" hidden="1" x14ac:dyDescent="0.25">
      <c r="A301" s="11" t="s">
        <v>21</v>
      </c>
      <c r="B301" s="200" t="s">
        <v>18</v>
      </c>
      <c r="C301" s="291">
        <f>C297</f>
        <v>0</v>
      </c>
      <c r="D301" s="243">
        <f>+C300*D300/1000</f>
        <v>1.3429999999999999E-2</v>
      </c>
      <c r="E301" s="233">
        <f>C301*D301</f>
        <v>0</v>
      </c>
      <c r="G301" s="36"/>
      <c r="H301" s="20"/>
      <c r="I301" s="31"/>
      <c r="J301" s="31"/>
    </row>
    <row r="302" spans="1:10" hidden="1" x14ac:dyDescent="0.25">
      <c r="A302" s="11" t="s">
        <v>255</v>
      </c>
      <c r="B302" s="200" t="s">
        <v>19</v>
      </c>
      <c r="C302" s="298">
        <v>16</v>
      </c>
      <c r="D302" s="233">
        <v>11.25</v>
      </c>
      <c r="E302" s="233"/>
      <c r="G302" s="36"/>
      <c r="H302" s="20"/>
      <c r="I302" s="31"/>
      <c r="J302" s="31"/>
    </row>
    <row r="303" spans="1:10" hidden="1" x14ac:dyDescent="0.25">
      <c r="A303" s="11" t="s">
        <v>22</v>
      </c>
      <c r="B303" s="200" t="s">
        <v>18</v>
      </c>
      <c r="C303" s="291">
        <f>C297</f>
        <v>0</v>
      </c>
      <c r="D303" s="243">
        <f>+C302*D302/1000</f>
        <v>0.18</v>
      </c>
      <c r="E303" s="233">
        <f>C303*D303</f>
        <v>0</v>
      </c>
      <c r="G303" s="36"/>
      <c r="H303" s="20"/>
      <c r="I303" s="31"/>
      <c r="J303" s="31"/>
    </row>
    <row r="304" spans="1:10" hidden="1" x14ac:dyDescent="0.25">
      <c r="A304" s="11" t="s">
        <v>23</v>
      </c>
      <c r="B304" s="200" t="s">
        <v>24</v>
      </c>
      <c r="C304" s="298">
        <v>2</v>
      </c>
      <c r="D304" s="233">
        <v>5.4</v>
      </c>
      <c r="E304" s="233"/>
      <c r="G304" s="36"/>
      <c r="H304" s="20"/>
      <c r="I304" s="31"/>
      <c r="J304" s="31"/>
    </row>
    <row r="305" spans="1:10" hidden="1" x14ac:dyDescent="0.25">
      <c r="A305" s="11" t="s">
        <v>25</v>
      </c>
      <c r="B305" s="200" t="s">
        <v>18</v>
      </c>
      <c r="C305" s="291">
        <f>C297</f>
        <v>0</v>
      </c>
      <c r="D305" s="243">
        <f>+C304*D304/1000</f>
        <v>1.0800000000000001E-2</v>
      </c>
      <c r="E305" s="233">
        <f>C305*D305</f>
        <v>0</v>
      </c>
      <c r="G305" s="36"/>
      <c r="H305" s="20"/>
      <c r="I305" s="31"/>
      <c r="J305" s="31"/>
    </row>
    <row r="306" spans="1:10" ht="13.8" hidden="1" thickBot="1" x14ac:dyDescent="0.3">
      <c r="A306" s="32" t="s">
        <v>274</v>
      </c>
      <c r="B306" s="209" t="s">
        <v>127</v>
      </c>
      <c r="C306" s="299"/>
      <c r="D306" s="244">
        <f>IFERROR(D297+D299+D301+D303+D305,0)</f>
        <v>2.3883633333333338</v>
      </c>
      <c r="E306" s="233"/>
      <c r="G306" s="36"/>
      <c r="H306" s="20"/>
      <c r="I306" s="31"/>
      <c r="J306" s="31"/>
    </row>
    <row r="307" spans="1:10" ht="13.8" hidden="1" thickBot="1" x14ac:dyDescent="0.3">
      <c r="F307" s="282">
        <f>SUM(E296:E305)</f>
        <v>0</v>
      </c>
      <c r="I307" s="31"/>
      <c r="J307" s="31"/>
    </row>
    <row r="308" spans="1:10" ht="11.25" hidden="1" customHeight="1" x14ac:dyDescent="0.25">
      <c r="I308" s="31"/>
      <c r="J308" s="31"/>
    </row>
    <row r="309" spans="1:10" ht="13.8" hidden="1" thickBot="1" x14ac:dyDescent="0.3">
      <c r="A309" s="7" t="s">
        <v>55</v>
      </c>
      <c r="I309" s="31"/>
      <c r="J309" s="31"/>
    </row>
    <row r="310" spans="1:10" ht="13.8" hidden="1" thickBot="1" x14ac:dyDescent="0.3">
      <c r="A310" s="23" t="s">
        <v>66</v>
      </c>
      <c r="B310" s="198" t="s">
        <v>67</v>
      </c>
      <c r="C310" s="198" t="s">
        <v>42</v>
      </c>
      <c r="D310" s="231" t="s">
        <v>252</v>
      </c>
      <c r="E310" s="231" t="s">
        <v>68</v>
      </c>
      <c r="F310" s="276" t="s">
        <v>69</v>
      </c>
      <c r="I310" s="31"/>
      <c r="J310" s="31"/>
    </row>
    <row r="311" spans="1:10" ht="13.8" hidden="1" thickBot="1" x14ac:dyDescent="0.3">
      <c r="A311" s="10" t="s">
        <v>125</v>
      </c>
      <c r="B311" s="199" t="s">
        <v>127</v>
      </c>
      <c r="C311" s="291">
        <f>C297</f>
        <v>0</v>
      </c>
      <c r="D311" s="232">
        <v>1.03</v>
      </c>
      <c r="E311" s="232">
        <f>C311*D311</f>
        <v>0</v>
      </c>
      <c r="I311" s="31"/>
      <c r="J311" s="31"/>
    </row>
    <row r="312" spans="1:10" ht="13.8" hidden="1" thickBot="1" x14ac:dyDescent="0.3">
      <c r="F312" s="282">
        <f>E311</f>
        <v>0</v>
      </c>
      <c r="I312" s="31"/>
      <c r="J312" s="31"/>
    </row>
    <row r="313" spans="1:10" ht="11.25" hidden="1" customHeight="1" x14ac:dyDescent="0.25">
      <c r="I313" s="31"/>
      <c r="J313" s="31"/>
    </row>
    <row r="314" spans="1:10" ht="13.8" hidden="1" thickBot="1" x14ac:dyDescent="0.3">
      <c r="A314" s="7" t="s">
        <v>64</v>
      </c>
      <c r="I314" s="31"/>
      <c r="J314" s="31"/>
    </row>
    <row r="315" spans="1:10" ht="13.8" hidden="1" thickBot="1" x14ac:dyDescent="0.3">
      <c r="A315" s="23" t="s">
        <v>66</v>
      </c>
      <c r="B315" s="198" t="s">
        <v>67</v>
      </c>
      <c r="C315" s="198" t="s">
        <v>42</v>
      </c>
      <c r="D315" s="231" t="s">
        <v>252</v>
      </c>
      <c r="E315" s="231" t="s">
        <v>68</v>
      </c>
      <c r="F315" s="276" t="s">
        <v>69</v>
      </c>
      <c r="I315" s="31"/>
      <c r="J315" s="31"/>
    </row>
    <row r="316" spans="1:10" hidden="1" x14ac:dyDescent="0.25">
      <c r="A316" s="10" t="s">
        <v>99</v>
      </c>
      <c r="B316" s="199" t="s">
        <v>10</v>
      </c>
      <c r="C316" s="199">
        <v>6</v>
      </c>
      <c r="D316" s="232">
        <v>1610</v>
      </c>
      <c r="E316" s="232">
        <f>C316*D316</f>
        <v>9660</v>
      </c>
      <c r="I316" s="31"/>
      <c r="J316" s="31"/>
    </row>
    <row r="317" spans="1:10" hidden="1" x14ac:dyDescent="0.25">
      <c r="A317" s="10" t="s">
        <v>128</v>
      </c>
      <c r="B317" s="199" t="s">
        <v>10</v>
      </c>
      <c r="C317" s="199">
        <v>2</v>
      </c>
      <c r="D317" s="232"/>
      <c r="E317" s="232"/>
      <c r="I317" s="31"/>
      <c r="J317" s="31"/>
    </row>
    <row r="318" spans="1:10" hidden="1" x14ac:dyDescent="0.25">
      <c r="A318" s="10" t="s">
        <v>74</v>
      </c>
      <c r="B318" s="199" t="s">
        <v>10</v>
      </c>
      <c r="C318" s="232">
        <f>C316*C317</f>
        <v>12</v>
      </c>
      <c r="D318" s="232">
        <v>420</v>
      </c>
      <c r="E318" s="232">
        <f>C318*D318</f>
        <v>5040</v>
      </c>
      <c r="I318" s="31"/>
      <c r="J318" s="31"/>
    </row>
    <row r="319" spans="1:10" hidden="1" x14ac:dyDescent="0.25">
      <c r="A319" s="11" t="s">
        <v>100</v>
      </c>
      <c r="B319" s="200" t="s">
        <v>26</v>
      </c>
      <c r="C319" s="300">
        <v>50000</v>
      </c>
      <c r="D319" s="233">
        <f>E316+E318</f>
        <v>14700</v>
      </c>
      <c r="E319" s="233">
        <f>IFERROR(D319/C319,"-")</f>
        <v>0.29399999999999998</v>
      </c>
      <c r="I319" s="31"/>
      <c r="J319" s="31"/>
    </row>
    <row r="320" spans="1:10" ht="13.8" hidden="1" thickBot="1" x14ac:dyDescent="0.3">
      <c r="A320" s="11" t="s">
        <v>57</v>
      </c>
      <c r="B320" s="200" t="s">
        <v>18</v>
      </c>
      <c r="C320" s="291">
        <f>B293</f>
        <v>0</v>
      </c>
      <c r="D320" s="233">
        <f>E319</f>
        <v>0.29399999999999998</v>
      </c>
      <c r="E320" s="233">
        <f>IFERROR(C320*D320,0)</f>
        <v>0</v>
      </c>
      <c r="I320" s="31"/>
      <c r="J320" s="31"/>
    </row>
    <row r="321" spans="1:10" ht="13.8" hidden="1" thickBot="1" x14ac:dyDescent="0.3">
      <c r="F321" s="282">
        <f>E320</f>
        <v>0</v>
      </c>
      <c r="I321" s="31"/>
      <c r="J321" s="31"/>
    </row>
    <row r="322" spans="1:10" hidden="1" x14ac:dyDescent="0.25">
      <c r="F322" s="279"/>
      <c r="I322" s="31"/>
      <c r="J322" s="31"/>
    </row>
    <row r="323" spans="1:10" x14ac:dyDescent="0.25">
      <c r="A323" s="5" t="s">
        <v>344</v>
      </c>
      <c r="I323" s="31"/>
      <c r="J323" s="31"/>
    </row>
    <row r="324" spans="1:10" x14ac:dyDescent="0.25">
      <c r="I324" s="31"/>
      <c r="J324" s="31"/>
    </row>
    <row r="325" spans="1:10" ht="13.8" thickBot="1" x14ac:dyDescent="0.3">
      <c r="A325" s="33" t="s">
        <v>48</v>
      </c>
      <c r="I325" s="31"/>
      <c r="J325" s="31"/>
    </row>
    <row r="326" spans="1:10" ht="13.8" thickBot="1" x14ac:dyDescent="0.3">
      <c r="A326" s="23" t="s">
        <v>66</v>
      </c>
      <c r="B326" s="198" t="s">
        <v>67</v>
      </c>
      <c r="C326" s="198" t="s">
        <v>42</v>
      </c>
      <c r="D326" s="231" t="s">
        <v>252</v>
      </c>
      <c r="E326" s="231" t="s">
        <v>68</v>
      </c>
      <c r="F326" s="276" t="s">
        <v>69</v>
      </c>
      <c r="I326" s="31"/>
      <c r="J326" s="31"/>
    </row>
    <row r="327" spans="1:10" x14ac:dyDescent="0.25">
      <c r="A327" s="10" t="s">
        <v>113</v>
      </c>
      <c r="B327" s="199" t="s">
        <v>10</v>
      </c>
      <c r="C327" s="199">
        <v>1</v>
      </c>
      <c r="D327" s="232">
        <v>250000</v>
      </c>
      <c r="E327" s="232">
        <f>C327*D327</f>
        <v>250000</v>
      </c>
      <c r="I327" s="31"/>
      <c r="J327" s="31"/>
    </row>
    <row r="328" spans="1:10" x14ac:dyDescent="0.25">
      <c r="A328" s="11" t="s">
        <v>107</v>
      </c>
      <c r="B328" s="200" t="s">
        <v>108</v>
      </c>
      <c r="C328" s="200">
        <v>5</v>
      </c>
      <c r="D328" s="233"/>
      <c r="E328" s="233"/>
      <c r="I328" s="31"/>
      <c r="J328" s="31"/>
    </row>
    <row r="329" spans="1:10" x14ac:dyDescent="0.25">
      <c r="A329" s="11" t="s">
        <v>221</v>
      </c>
      <c r="B329" s="200" t="s">
        <v>108</v>
      </c>
      <c r="C329" s="200">
        <v>0</v>
      </c>
      <c r="D329" s="233"/>
      <c r="E329" s="233"/>
      <c r="F329" s="283"/>
      <c r="I329" s="31"/>
      <c r="J329" s="31"/>
    </row>
    <row r="330" spans="1:10" x14ac:dyDescent="0.25">
      <c r="A330" s="11" t="s">
        <v>111</v>
      </c>
      <c r="B330" s="200" t="s">
        <v>2</v>
      </c>
      <c r="C330" s="233">
        <f>IFERROR(VLOOKUP(C328,'5. Depreciação'!A3:B17,2,FALSE),0)</f>
        <v>55.679999999999993</v>
      </c>
      <c r="D330" s="233">
        <f>E327</f>
        <v>250000</v>
      </c>
      <c r="E330" s="233">
        <f>C330*D330/100</f>
        <v>139199.99999999997</v>
      </c>
      <c r="I330" s="31"/>
      <c r="J330" s="31"/>
    </row>
    <row r="331" spans="1:10" ht="13.8" thickBot="1" x14ac:dyDescent="0.3">
      <c r="A331" s="158" t="s">
        <v>348</v>
      </c>
      <c r="B331" s="208" t="s">
        <v>8</v>
      </c>
      <c r="C331" s="208">
        <f>C328*12</f>
        <v>60</v>
      </c>
      <c r="D331" s="240">
        <f>IF(C329&lt;=C328,E330,0)</f>
        <v>139199.99999999997</v>
      </c>
      <c r="E331" s="240">
        <f>IFERROR(D331/C331,0)</f>
        <v>2319.9999999999995</v>
      </c>
      <c r="I331" s="31"/>
      <c r="J331" s="31"/>
    </row>
    <row r="332" spans="1:10" ht="13.8" thickTop="1" x14ac:dyDescent="0.25">
      <c r="A332" s="180" t="s">
        <v>346</v>
      </c>
      <c r="B332" s="199" t="s">
        <v>10</v>
      </c>
      <c r="C332" s="199">
        <v>3</v>
      </c>
      <c r="D332" s="232">
        <v>10000</v>
      </c>
      <c r="E332" s="232">
        <f>C332*D332</f>
        <v>30000</v>
      </c>
      <c r="I332" s="31"/>
      <c r="J332" s="31"/>
    </row>
    <row r="333" spans="1:10" x14ac:dyDescent="0.25">
      <c r="A333" s="181" t="s">
        <v>347</v>
      </c>
      <c r="B333" s="200" t="s">
        <v>108</v>
      </c>
      <c r="C333" s="200">
        <v>5</v>
      </c>
      <c r="D333" s="233"/>
      <c r="E333" s="233"/>
      <c r="I333" s="31"/>
      <c r="J333" s="31"/>
    </row>
    <row r="334" spans="1:10" x14ac:dyDescent="0.25">
      <c r="A334" s="181" t="s">
        <v>310</v>
      </c>
      <c r="B334" s="200" t="s">
        <v>108</v>
      </c>
      <c r="C334" s="200">
        <v>0</v>
      </c>
      <c r="D334" s="233"/>
      <c r="E334" s="233"/>
      <c r="F334" s="283"/>
      <c r="I334" s="31"/>
      <c r="J334" s="31"/>
    </row>
    <row r="335" spans="1:10" x14ac:dyDescent="0.25">
      <c r="A335" s="181" t="s">
        <v>311</v>
      </c>
      <c r="B335" s="200" t="s">
        <v>2</v>
      </c>
      <c r="C335" s="263">
        <f>IFERROR(VLOOKUP(C333,'5. Depreciação'!A3:B17,2,FALSE),0)</f>
        <v>55.679999999999993</v>
      </c>
      <c r="D335" s="233">
        <f>E332</f>
        <v>30000</v>
      </c>
      <c r="E335" s="233">
        <f>C335*D335/100</f>
        <v>16703.999999999996</v>
      </c>
      <c r="I335" s="31"/>
      <c r="J335" s="31"/>
    </row>
    <row r="336" spans="1:10" x14ac:dyDescent="0.25">
      <c r="A336" s="32" t="s">
        <v>312</v>
      </c>
      <c r="B336" s="209" t="s">
        <v>8</v>
      </c>
      <c r="C336" s="209">
        <f>C333*12</f>
        <v>60</v>
      </c>
      <c r="D336" s="241">
        <f>IF(C334&lt;=C333,E335,0)</f>
        <v>16703.999999999996</v>
      </c>
      <c r="E336" s="241">
        <f>IFERROR(D336/C336,0)</f>
        <v>278.39999999999992</v>
      </c>
      <c r="I336" s="31"/>
      <c r="J336" s="31"/>
    </row>
    <row r="337" spans="1:10" x14ac:dyDescent="0.25">
      <c r="A337" s="37" t="s">
        <v>276</v>
      </c>
      <c r="B337" s="201"/>
      <c r="C337" s="201"/>
      <c r="D337" s="234"/>
      <c r="E337" s="262">
        <f>E331+E336</f>
        <v>2598.3999999999996</v>
      </c>
      <c r="I337" s="31"/>
      <c r="J337" s="31"/>
    </row>
    <row r="338" spans="1:10" ht="13.8" thickBot="1" x14ac:dyDescent="0.3">
      <c r="A338" s="32" t="s">
        <v>277</v>
      </c>
      <c r="B338" s="209" t="s">
        <v>10</v>
      </c>
      <c r="C338" s="200">
        <v>1</v>
      </c>
      <c r="D338" s="241">
        <f>E337</f>
        <v>2598.3999999999996</v>
      </c>
      <c r="E338" s="262">
        <f>C338*D338</f>
        <v>2598.3999999999996</v>
      </c>
      <c r="I338" s="31"/>
      <c r="J338" s="31"/>
    </row>
    <row r="339" spans="1:10" ht="13.8" thickBot="1" x14ac:dyDescent="0.3">
      <c r="A339" s="153"/>
      <c r="B339" s="210"/>
      <c r="C339" s="210"/>
      <c r="D339" s="235" t="s">
        <v>204</v>
      </c>
      <c r="E339" s="263">
        <v>0.4</v>
      </c>
      <c r="F339" s="282">
        <f>E338*E339</f>
        <v>1039.3599999999999</v>
      </c>
      <c r="I339" s="31"/>
      <c r="J339" s="31"/>
    </row>
    <row r="340" spans="1:10" x14ac:dyDescent="0.25">
      <c r="I340" s="31"/>
      <c r="J340" s="31"/>
    </row>
    <row r="341" spans="1:10" ht="13.8" thickBot="1" x14ac:dyDescent="0.3">
      <c r="A341" s="33" t="s">
        <v>119</v>
      </c>
      <c r="I341" s="31"/>
      <c r="J341" s="31"/>
    </row>
    <row r="342" spans="1:10" ht="13.8" thickBot="1" x14ac:dyDescent="0.3">
      <c r="A342" s="35" t="s">
        <v>66</v>
      </c>
      <c r="B342" s="211" t="s">
        <v>67</v>
      </c>
      <c r="C342" s="211" t="s">
        <v>42</v>
      </c>
      <c r="D342" s="231" t="s">
        <v>252</v>
      </c>
      <c r="E342" s="266" t="s">
        <v>68</v>
      </c>
      <c r="F342" s="276" t="s">
        <v>69</v>
      </c>
      <c r="I342" s="31"/>
      <c r="J342" s="31"/>
    </row>
    <row r="343" spans="1:10" x14ac:dyDescent="0.25">
      <c r="A343" s="11" t="s">
        <v>117</v>
      </c>
      <c r="B343" s="200" t="s">
        <v>10</v>
      </c>
      <c r="C343" s="199">
        <v>1</v>
      </c>
      <c r="D343" s="233">
        <f>D327</f>
        <v>250000</v>
      </c>
      <c r="E343" s="233">
        <f>C343*D343</f>
        <v>250000</v>
      </c>
      <c r="F343" s="283"/>
      <c r="I343" s="31"/>
      <c r="J343" s="31"/>
    </row>
    <row r="344" spans="1:10" x14ac:dyDescent="0.25">
      <c r="A344" s="11" t="s">
        <v>225</v>
      </c>
      <c r="B344" s="200" t="s">
        <v>2</v>
      </c>
      <c r="C344" s="200">
        <v>6</v>
      </c>
      <c r="D344" s="233"/>
      <c r="E344" s="233"/>
      <c r="F344" s="283"/>
      <c r="I344" s="31"/>
      <c r="J344" s="31"/>
    </row>
    <row r="345" spans="1:10" x14ac:dyDescent="0.25">
      <c r="A345" s="11" t="s">
        <v>223</v>
      </c>
      <c r="B345" s="200" t="s">
        <v>35</v>
      </c>
      <c r="C345" s="295">
        <f>IFERROR(IF(C329&lt;=C328,E327-(C330/(100*C328)*C329)*E327,E327-E330),0)</f>
        <v>250000</v>
      </c>
      <c r="D345" s="233"/>
      <c r="E345" s="233"/>
      <c r="F345" s="283"/>
      <c r="I345" s="31"/>
      <c r="J345" s="31"/>
    </row>
    <row r="346" spans="1:10" x14ac:dyDescent="0.25">
      <c r="A346" s="11" t="s">
        <v>122</v>
      </c>
      <c r="B346" s="200" t="s">
        <v>35</v>
      </c>
      <c r="C346" s="233">
        <f>IFERROR(IF(C329&gt;=C328,C345,((((C345)-(E327-E330))*(((C328-C329)+1)/(2*(C328-C329))))+(E327-E330))),0)</f>
        <v>194320</v>
      </c>
      <c r="D346" s="233"/>
      <c r="E346" s="233"/>
      <c r="F346" s="283"/>
      <c r="I346" s="31"/>
      <c r="J346" s="31"/>
    </row>
    <row r="347" spans="1:10" ht="13.8" thickBot="1" x14ac:dyDescent="0.3">
      <c r="A347" s="158" t="s">
        <v>123</v>
      </c>
      <c r="B347" s="208" t="s">
        <v>35</v>
      </c>
      <c r="C347" s="208"/>
      <c r="D347" s="240">
        <f>C344*C346/12/100</f>
        <v>971.6</v>
      </c>
      <c r="E347" s="240">
        <f>D347</f>
        <v>971.6</v>
      </c>
      <c r="F347" s="283"/>
      <c r="I347" s="31"/>
      <c r="J347" s="31"/>
    </row>
    <row r="348" spans="1:10" ht="13.8" thickTop="1" x14ac:dyDescent="0.25">
      <c r="A348" s="180" t="s">
        <v>349</v>
      </c>
      <c r="B348" s="199" t="s">
        <v>10</v>
      </c>
      <c r="C348" s="199">
        <f>C332</f>
        <v>3</v>
      </c>
      <c r="D348" s="232">
        <f>D332</f>
        <v>10000</v>
      </c>
      <c r="E348" s="232">
        <f>C348*D348</f>
        <v>30000</v>
      </c>
      <c r="F348" s="283"/>
      <c r="I348" s="31"/>
      <c r="J348" s="31"/>
    </row>
    <row r="349" spans="1:10" x14ac:dyDescent="0.25">
      <c r="A349" s="11" t="s">
        <v>225</v>
      </c>
      <c r="B349" s="200" t="s">
        <v>2</v>
      </c>
      <c r="C349" s="200">
        <f>C344</f>
        <v>6</v>
      </c>
      <c r="D349" s="233"/>
      <c r="E349" s="233"/>
      <c r="F349" s="283"/>
      <c r="I349" s="31"/>
      <c r="J349" s="31"/>
    </row>
    <row r="350" spans="1:10" x14ac:dyDescent="0.25">
      <c r="A350" s="182" t="s">
        <v>350</v>
      </c>
      <c r="B350" s="200" t="s">
        <v>35</v>
      </c>
      <c r="C350" s="295">
        <f>IFERROR(IF(C334&lt;=C333,E332-(C335/(100*C333)*C334)*E332,E332-E335),0)</f>
        <v>30000</v>
      </c>
      <c r="D350" s="233"/>
      <c r="E350" s="233"/>
      <c r="F350" s="283"/>
      <c r="I350" s="31"/>
      <c r="J350" s="31"/>
    </row>
    <row r="351" spans="1:10" x14ac:dyDescent="0.25">
      <c r="A351" s="182" t="s">
        <v>351</v>
      </c>
      <c r="B351" s="200" t="s">
        <v>35</v>
      </c>
      <c r="C351" s="233">
        <f>IFERROR(IF(C334&gt;=C333,C350,((((C350)-(E332-E335))*(((C333-C334)+1)/(2*(C333-C334))))+(E332-E335))),0)</f>
        <v>23318.400000000001</v>
      </c>
      <c r="D351" s="233"/>
      <c r="E351" s="233"/>
      <c r="F351" s="283"/>
      <c r="I351" s="31"/>
      <c r="J351" s="31"/>
    </row>
    <row r="352" spans="1:10" x14ac:dyDescent="0.25">
      <c r="A352" s="32" t="s">
        <v>121</v>
      </c>
      <c r="B352" s="209" t="s">
        <v>35</v>
      </c>
      <c r="C352" s="209"/>
      <c r="D352" s="241">
        <f>C349*C351/12/100</f>
        <v>116.59200000000003</v>
      </c>
      <c r="E352" s="241">
        <f>D352</f>
        <v>116.59200000000003</v>
      </c>
      <c r="F352" s="283"/>
      <c r="I352" s="31"/>
      <c r="J352" s="31"/>
    </row>
    <row r="353" spans="1:10" x14ac:dyDescent="0.25">
      <c r="A353" s="37" t="s">
        <v>276</v>
      </c>
      <c r="B353" s="201"/>
      <c r="C353" s="201"/>
      <c r="D353" s="234"/>
      <c r="E353" s="262">
        <f>E347+E352</f>
        <v>1088.192</v>
      </c>
      <c r="F353" s="283"/>
      <c r="I353" s="31"/>
      <c r="J353" s="31"/>
    </row>
    <row r="354" spans="1:10" ht="13.8" thickBot="1" x14ac:dyDescent="0.3">
      <c r="A354" s="32" t="s">
        <v>277</v>
      </c>
      <c r="B354" s="209" t="s">
        <v>10</v>
      </c>
      <c r="C354" s="200">
        <f>C338</f>
        <v>1</v>
      </c>
      <c r="D354" s="241">
        <f>E353</f>
        <v>1088.192</v>
      </c>
      <c r="E354" s="262">
        <f>C354*D354</f>
        <v>1088.192</v>
      </c>
      <c r="F354" s="283"/>
      <c r="I354" s="31"/>
      <c r="J354" s="31"/>
    </row>
    <row r="355" spans="1:10" ht="13.8" thickBot="1" x14ac:dyDescent="0.3">
      <c r="C355" s="296"/>
      <c r="D355" s="235" t="s">
        <v>204</v>
      </c>
      <c r="E355" s="263">
        <v>0.4</v>
      </c>
      <c r="F355" s="282">
        <f>E354*E355</f>
        <v>435.27680000000004</v>
      </c>
      <c r="I355" s="31"/>
      <c r="J355" s="31"/>
    </row>
    <row r="356" spans="1:10" x14ac:dyDescent="0.25">
      <c r="I356" s="31"/>
      <c r="J356" s="31"/>
    </row>
    <row r="357" spans="1:10" ht="13.8" thickBot="1" x14ac:dyDescent="0.3">
      <c r="A357" s="5" t="s">
        <v>53</v>
      </c>
      <c r="I357" s="31"/>
      <c r="J357" s="31"/>
    </row>
    <row r="358" spans="1:10" ht="13.8" thickBot="1" x14ac:dyDescent="0.3">
      <c r="A358" s="23" t="s">
        <v>66</v>
      </c>
      <c r="B358" s="198" t="s">
        <v>67</v>
      </c>
      <c r="C358" s="198" t="s">
        <v>42</v>
      </c>
      <c r="D358" s="231" t="s">
        <v>252</v>
      </c>
      <c r="E358" s="231" t="s">
        <v>68</v>
      </c>
      <c r="F358" s="276" t="s">
        <v>69</v>
      </c>
      <c r="I358" s="31"/>
      <c r="J358" s="31"/>
    </row>
    <row r="359" spans="1:10" x14ac:dyDescent="0.25">
      <c r="A359" s="10" t="s">
        <v>12</v>
      </c>
      <c r="B359" s="199" t="s">
        <v>10</v>
      </c>
      <c r="C359" s="232">
        <f>C338</f>
        <v>1</v>
      </c>
      <c r="D359" s="232">
        <f>0.01*($E$327)</f>
        <v>2500</v>
      </c>
      <c r="E359" s="232">
        <f>C359*D359</f>
        <v>2500</v>
      </c>
      <c r="I359" s="31"/>
      <c r="J359" s="31"/>
    </row>
    <row r="360" spans="1:10" x14ac:dyDescent="0.25">
      <c r="A360" s="11" t="s">
        <v>203</v>
      </c>
      <c r="B360" s="200" t="s">
        <v>10</v>
      </c>
      <c r="C360" s="232">
        <f>C338</f>
        <v>1</v>
      </c>
      <c r="D360" s="233">
        <v>150</v>
      </c>
      <c r="E360" s="233">
        <f>C360*D360</f>
        <v>150</v>
      </c>
      <c r="I360" s="31"/>
      <c r="J360" s="31"/>
    </row>
    <row r="361" spans="1:10" hidden="1" x14ac:dyDescent="0.25">
      <c r="A361" s="11" t="s">
        <v>13</v>
      </c>
      <c r="B361" s="200" t="s">
        <v>10</v>
      </c>
      <c r="C361" s="232"/>
      <c r="D361" s="233">
        <v>1800</v>
      </c>
      <c r="E361" s="233">
        <f>C361*D361</f>
        <v>0</v>
      </c>
      <c r="F361" s="279"/>
      <c r="I361" s="31"/>
      <c r="J361" s="31"/>
    </row>
    <row r="362" spans="1:10" ht="13.8" thickBot="1" x14ac:dyDescent="0.3">
      <c r="A362" s="32" t="s">
        <v>14</v>
      </c>
      <c r="B362" s="209" t="s">
        <v>8</v>
      </c>
      <c r="C362" s="209">
        <v>12</v>
      </c>
      <c r="D362" s="241">
        <f>SUM(E359:E361)</f>
        <v>2650</v>
      </c>
      <c r="E362" s="241">
        <f>D362/C362</f>
        <v>220.83333333333334</v>
      </c>
      <c r="I362" s="31"/>
      <c r="J362" s="31"/>
    </row>
    <row r="363" spans="1:10" ht="13.8" thickBot="1" x14ac:dyDescent="0.3">
      <c r="D363" s="235" t="s">
        <v>204</v>
      </c>
      <c r="E363" s="263">
        <v>0.4</v>
      </c>
      <c r="F363" s="277">
        <f>E362*E363</f>
        <v>88.333333333333343</v>
      </c>
      <c r="I363" s="31"/>
      <c r="J363" s="31"/>
    </row>
    <row r="364" spans="1:10" x14ac:dyDescent="0.25">
      <c r="I364" s="31"/>
      <c r="J364" s="31"/>
    </row>
    <row r="365" spans="1:10" x14ac:dyDescent="0.25">
      <c r="A365" s="5" t="s">
        <v>54</v>
      </c>
      <c r="B365" s="212"/>
      <c r="I365" s="31"/>
      <c r="J365" s="31"/>
    </row>
    <row r="366" spans="1:10" x14ac:dyDescent="0.25">
      <c r="B366" s="212"/>
      <c r="I366" s="31"/>
      <c r="J366" s="31"/>
    </row>
    <row r="367" spans="1:10" x14ac:dyDescent="0.25">
      <c r="A367" s="32" t="s">
        <v>126</v>
      </c>
      <c r="B367" s="213">
        <v>4440</v>
      </c>
      <c r="I367" s="31"/>
      <c r="J367" s="31"/>
    </row>
    <row r="368" spans="1:10" ht="13.8" thickBot="1" x14ac:dyDescent="0.3">
      <c r="B368" s="212"/>
      <c r="I368" s="31"/>
      <c r="J368" s="31"/>
    </row>
    <row r="369" spans="1:10" ht="13.8" thickBot="1" x14ac:dyDescent="0.3">
      <c r="A369" s="23" t="s">
        <v>66</v>
      </c>
      <c r="B369" s="198" t="s">
        <v>67</v>
      </c>
      <c r="C369" s="198" t="s">
        <v>275</v>
      </c>
      <c r="D369" s="231" t="s">
        <v>252</v>
      </c>
      <c r="E369" s="231" t="s">
        <v>68</v>
      </c>
      <c r="F369" s="276" t="s">
        <v>69</v>
      </c>
      <c r="I369" s="31"/>
      <c r="J369" s="31"/>
    </row>
    <row r="370" spans="1:10" x14ac:dyDescent="0.25">
      <c r="A370" s="10" t="s">
        <v>15</v>
      </c>
      <c r="B370" s="199" t="s">
        <v>16</v>
      </c>
      <c r="C370" s="297">
        <v>1.8</v>
      </c>
      <c r="D370" s="242">
        <v>3.6</v>
      </c>
      <c r="E370" s="232"/>
      <c r="I370" s="31"/>
      <c r="J370" s="31"/>
    </row>
    <row r="371" spans="1:10" x14ac:dyDescent="0.25">
      <c r="A371" s="11" t="s">
        <v>17</v>
      </c>
      <c r="B371" s="200" t="s">
        <v>18</v>
      </c>
      <c r="C371" s="291">
        <f>B367</f>
        <v>4440</v>
      </c>
      <c r="D371" s="242">
        <f>IFERROR(+D370/C370,"-")</f>
        <v>2</v>
      </c>
      <c r="E371" s="233">
        <f>IFERROR(C371*D371,"-")</f>
        <v>8880</v>
      </c>
      <c r="I371" s="31"/>
      <c r="J371" s="31"/>
    </row>
    <row r="372" spans="1:10" x14ac:dyDescent="0.25">
      <c r="A372" s="11" t="s">
        <v>253</v>
      </c>
      <c r="B372" s="200" t="s">
        <v>19</v>
      </c>
      <c r="C372" s="298">
        <v>6</v>
      </c>
      <c r="D372" s="233">
        <v>16.8</v>
      </c>
      <c r="E372" s="233"/>
      <c r="I372" s="31"/>
      <c r="J372" s="31"/>
    </row>
    <row r="373" spans="1:10" x14ac:dyDescent="0.25">
      <c r="A373" s="11" t="s">
        <v>20</v>
      </c>
      <c r="B373" s="200" t="s">
        <v>18</v>
      </c>
      <c r="C373" s="291">
        <f>C371</f>
        <v>4440</v>
      </c>
      <c r="D373" s="243">
        <f>+C372*D372/1000</f>
        <v>0.10080000000000001</v>
      </c>
      <c r="E373" s="233">
        <f>C373*D373</f>
        <v>447.55200000000008</v>
      </c>
      <c r="I373" s="31"/>
      <c r="J373" s="31"/>
    </row>
    <row r="374" spans="1:10" x14ac:dyDescent="0.25">
      <c r="A374" s="11" t="s">
        <v>254</v>
      </c>
      <c r="B374" s="200" t="s">
        <v>19</v>
      </c>
      <c r="C374" s="298">
        <v>0.85</v>
      </c>
      <c r="D374" s="233">
        <v>15.8</v>
      </c>
      <c r="E374" s="233"/>
      <c r="I374" s="31"/>
      <c r="J374" s="31"/>
    </row>
    <row r="375" spans="1:10" x14ac:dyDescent="0.25">
      <c r="A375" s="11" t="s">
        <v>21</v>
      </c>
      <c r="B375" s="200" t="s">
        <v>18</v>
      </c>
      <c r="C375" s="291">
        <f>C371</f>
        <v>4440</v>
      </c>
      <c r="D375" s="243">
        <f>+C374*D374/1000</f>
        <v>1.3429999999999999E-2</v>
      </c>
      <c r="E375" s="233">
        <f>C375*D375</f>
        <v>59.629199999999997</v>
      </c>
      <c r="I375" s="31"/>
      <c r="J375" s="31"/>
    </row>
    <row r="376" spans="1:10" x14ac:dyDescent="0.25">
      <c r="A376" s="11" t="s">
        <v>255</v>
      </c>
      <c r="B376" s="200" t="s">
        <v>19</v>
      </c>
      <c r="C376" s="298">
        <v>16</v>
      </c>
      <c r="D376" s="233">
        <v>11.25</v>
      </c>
      <c r="E376" s="233"/>
      <c r="I376" s="31"/>
      <c r="J376" s="31"/>
    </row>
    <row r="377" spans="1:10" x14ac:dyDescent="0.25">
      <c r="A377" s="11" t="s">
        <v>22</v>
      </c>
      <c r="B377" s="200" t="s">
        <v>18</v>
      </c>
      <c r="C377" s="291">
        <f>C371</f>
        <v>4440</v>
      </c>
      <c r="D377" s="243">
        <f>+C376*D376/1000</f>
        <v>0.18</v>
      </c>
      <c r="E377" s="233">
        <f>C377*D377</f>
        <v>799.19999999999993</v>
      </c>
      <c r="I377" s="31"/>
      <c r="J377" s="31"/>
    </row>
    <row r="378" spans="1:10" x14ac:dyDescent="0.25">
      <c r="A378" s="11" t="s">
        <v>23</v>
      </c>
      <c r="B378" s="200" t="s">
        <v>24</v>
      </c>
      <c r="C378" s="298">
        <v>2</v>
      </c>
      <c r="D378" s="233">
        <v>5.4</v>
      </c>
      <c r="E378" s="233"/>
      <c r="I378" s="31"/>
      <c r="J378" s="31"/>
    </row>
    <row r="379" spans="1:10" x14ac:dyDescent="0.25">
      <c r="A379" s="11" t="s">
        <v>25</v>
      </c>
      <c r="B379" s="200" t="s">
        <v>18</v>
      </c>
      <c r="C379" s="291">
        <f>C371</f>
        <v>4440</v>
      </c>
      <c r="D379" s="243">
        <f>+C378*D378/1000</f>
        <v>1.0800000000000001E-2</v>
      </c>
      <c r="E379" s="233">
        <f>C379*D379</f>
        <v>47.952000000000005</v>
      </c>
      <c r="I379" s="31"/>
      <c r="J379" s="31"/>
    </row>
    <row r="380" spans="1:10" ht="13.8" thickBot="1" x14ac:dyDescent="0.3">
      <c r="A380" s="32" t="s">
        <v>274</v>
      </c>
      <c r="B380" s="209" t="s">
        <v>127</v>
      </c>
      <c r="C380" s="299"/>
      <c r="D380" s="244">
        <f>IFERROR(D371+D373+D375+D377+D379,0)</f>
        <v>2.3050300000000004</v>
      </c>
      <c r="E380" s="233"/>
      <c r="I380" s="31"/>
      <c r="J380" s="31"/>
    </row>
    <row r="381" spans="1:10" ht="13.8" thickBot="1" x14ac:dyDescent="0.3">
      <c r="F381" s="282">
        <f>SUM(E370:E379)</f>
        <v>10234.333199999999</v>
      </c>
      <c r="I381" s="31"/>
      <c r="J381" s="31"/>
    </row>
    <row r="382" spans="1:10" x14ac:dyDescent="0.25">
      <c r="I382" s="31"/>
      <c r="J382" s="31"/>
    </row>
    <row r="383" spans="1:10" ht="13.8" thickBot="1" x14ac:dyDescent="0.3">
      <c r="A383" s="5" t="s">
        <v>55</v>
      </c>
      <c r="I383" s="31"/>
      <c r="J383" s="31"/>
    </row>
    <row r="384" spans="1:10" ht="13.8" thickBot="1" x14ac:dyDescent="0.3">
      <c r="A384" s="23" t="s">
        <v>66</v>
      </c>
      <c r="B384" s="198" t="s">
        <v>67</v>
      </c>
      <c r="C384" s="198" t="s">
        <v>42</v>
      </c>
      <c r="D384" s="231" t="s">
        <v>252</v>
      </c>
      <c r="E384" s="231" t="s">
        <v>68</v>
      </c>
      <c r="F384" s="276" t="s">
        <v>69</v>
      </c>
      <c r="I384" s="31"/>
      <c r="J384" s="31"/>
    </row>
    <row r="385" spans="1:10" ht="13.8" thickBot="1" x14ac:dyDescent="0.3">
      <c r="A385" s="10" t="s">
        <v>125</v>
      </c>
      <c r="B385" s="199" t="s">
        <v>127</v>
      </c>
      <c r="C385" s="291">
        <f>C371</f>
        <v>4440</v>
      </c>
      <c r="D385" s="232">
        <v>1.03</v>
      </c>
      <c r="E385" s="232">
        <f>C385*D385</f>
        <v>4573.2</v>
      </c>
      <c r="I385" s="31"/>
      <c r="J385" s="31"/>
    </row>
    <row r="386" spans="1:10" ht="13.8" thickBot="1" x14ac:dyDescent="0.3">
      <c r="F386" s="282">
        <f>E385</f>
        <v>4573.2</v>
      </c>
      <c r="I386" s="31"/>
      <c r="J386" s="31"/>
    </row>
    <row r="387" spans="1:10" x14ac:dyDescent="0.25">
      <c r="I387" s="31"/>
      <c r="J387" s="31"/>
    </row>
    <row r="388" spans="1:10" ht="13.8" thickBot="1" x14ac:dyDescent="0.3">
      <c r="A388" s="5" t="s">
        <v>64</v>
      </c>
      <c r="I388" s="31"/>
      <c r="J388" s="31"/>
    </row>
    <row r="389" spans="1:10" ht="13.8" thickBot="1" x14ac:dyDescent="0.3">
      <c r="A389" s="23" t="s">
        <v>66</v>
      </c>
      <c r="B389" s="198" t="s">
        <v>67</v>
      </c>
      <c r="C389" s="198" t="s">
        <v>42</v>
      </c>
      <c r="D389" s="231" t="s">
        <v>252</v>
      </c>
      <c r="E389" s="231" t="s">
        <v>68</v>
      </c>
      <c r="F389" s="276" t="s">
        <v>69</v>
      </c>
      <c r="I389" s="31"/>
      <c r="J389" s="31"/>
    </row>
    <row r="390" spans="1:10" x14ac:dyDescent="0.25">
      <c r="A390" s="10" t="s">
        <v>99</v>
      </c>
      <c r="B390" s="199" t="s">
        <v>10</v>
      </c>
      <c r="C390" s="199">
        <v>22</v>
      </c>
      <c r="D390" s="232">
        <v>1610</v>
      </c>
      <c r="E390" s="232">
        <f>C390*D390</f>
        <v>35420</v>
      </c>
      <c r="I390" s="31"/>
      <c r="J390" s="31"/>
    </row>
    <row r="391" spans="1:10" x14ac:dyDescent="0.25">
      <c r="A391" s="10" t="s">
        <v>128</v>
      </c>
      <c r="B391" s="199" t="s">
        <v>10</v>
      </c>
      <c r="C391" s="199">
        <v>2</v>
      </c>
      <c r="D391" s="232"/>
      <c r="E391" s="232"/>
      <c r="I391" s="31"/>
      <c r="J391" s="31"/>
    </row>
    <row r="392" spans="1:10" x14ac:dyDescent="0.25">
      <c r="A392" s="10" t="s">
        <v>74</v>
      </c>
      <c r="B392" s="199" t="s">
        <v>10</v>
      </c>
      <c r="C392" s="232">
        <f>C390*C391</f>
        <v>44</v>
      </c>
      <c r="D392" s="232">
        <v>420</v>
      </c>
      <c r="E392" s="232">
        <f>C392*D392</f>
        <v>18480</v>
      </c>
      <c r="I392" s="31"/>
      <c r="J392" s="31"/>
    </row>
    <row r="393" spans="1:10" x14ac:dyDescent="0.25">
      <c r="A393" s="11" t="s">
        <v>100</v>
      </c>
      <c r="B393" s="200" t="s">
        <v>26</v>
      </c>
      <c r="C393" s="300">
        <v>50000</v>
      </c>
      <c r="D393" s="233">
        <f>E390+E392</f>
        <v>53900</v>
      </c>
      <c r="E393" s="233">
        <f>IFERROR(D393/C393,"-")</f>
        <v>1.0780000000000001</v>
      </c>
      <c r="I393" s="31"/>
      <c r="J393" s="31"/>
    </row>
    <row r="394" spans="1:10" ht="13.8" thickBot="1" x14ac:dyDescent="0.3">
      <c r="A394" s="11" t="s">
        <v>57</v>
      </c>
      <c r="B394" s="200" t="s">
        <v>18</v>
      </c>
      <c r="C394" s="291">
        <f>B367</f>
        <v>4440</v>
      </c>
      <c r="D394" s="233">
        <f>E393</f>
        <v>1.0780000000000001</v>
      </c>
      <c r="E394" s="233">
        <f>IFERROR(C394*D394,0)</f>
        <v>4786.3200000000006</v>
      </c>
      <c r="I394" s="31"/>
      <c r="J394" s="31"/>
    </row>
    <row r="395" spans="1:10" ht="13.8" thickBot="1" x14ac:dyDescent="0.3">
      <c r="F395" s="282">
        <f>E394</f>
        <v>4786.3200000000006</v>
      </c>
      <c r="I395" s="31"/>
      <c r="J395" s="31"/>
    </row>
    <row r="396" spans="1:10" hidden="1" x14ac:dyDescent="0.25">
      <c r="F396" s="279"/>
      <c r="I396" s="31"/>
      <c r="J396" s="31"/>
    </row>
    <row r="397" spans="1:10" hidden="1" x14ac:dyDescent="0.25">
      <c r="A397" s="5" t="s">
        <v>337</v>
      </c>
      <c r="I397" s="31"/>
      <c r="J397" s="31"/>
    </row>
    <row r="398" spans="1:10" hidden="1" x14ac:dyDescent="0.25">
      <c r="I398" s="31"/>
      <c r="J398" s="31"/>
    </row>
    <row r="399" spans="1:10" ht="13.8" hidden="1" thickBot="1" x14ac:dyDescent="0.3">
      <c r="A399" s="33" t="s">
        <v>328</v>
      </c>
      <c r="I399" s="31"/>
      <c r="J399" s="31"/>
    </row>
    <row r="400" spans="1:10" ht="13.8" hidden="1" thickBot="1" x14ac:dyDescent="0.3">
      <c r="A400" s="23" t="s">
        <v>66</v>
      </c>
      <c r="B400" s="198" t="s">
        <v>67</v>
      </c>
      <c r="C400" s="198" t="s">
        <v>42</v>
      </c>
      <c r="D400" s="231" t="s">
        <v>252</v>
      </c>
      <c r="E400" s="231" t="s">
        <v>68</v>
      </c>
      <c r="F400" s="276" t="s">
        <v>69</v>
      </c>
      <c r="I400" s="31"/>
      <c r="J400" s="31"/>
    </row>
    <row r="401" spans="1:10" hidden="1" x14ac:dyDescent="0.25">
      <c r="A401" s="10" t="s">
        <v>113</v>
      </c>
      <c r="B401" s="199" t="s">
        <v>10</v>
      </c>
      <c r="C401" s="199">
        <v>1</v>
      </c>
      <c r="D401" s="232">
        <v>130000</v>
      </c>
      <c r="E401" s="232">
        <f>C401*D401</f>
        <v>130000</v>
      </c>
      <c r="I401" s="31"/>
      <c r="J401" s="31"/>
    </row>
    <row r="402" spans="1:10" hidden="1" x14ac:dyDescent="0.25">
      <c r="A402" s="11" t="s">
        <v>107</v>
      </c>
      <c r="B402" s="200" t="s">
        <v>108</v>
      </c>
      <c r="C402" s="200">
        <v>5</v>
      </c>
      <c r="D402" s="233"/>
      <c r="E402" s="233"/>
      <c r="I402" s="31"/>
      <c r="J402" s="31"/>
    </row>
    <row r="403" spans="1:10" hidden="1" x14ac:dyDescent="0.25">
      <c r="A403" s="11" t="s">
        <v>221</v>
      </c>
      <c r="B403" s="200" t="s">
        <v>108</v>
      </c>
      <c r="C403" s="200">
        <v>3</v>
      </c>
      <c r="D403" s="233"/>
      <c r="E403" s="233"/>
      <c r="F403" s="283"/>
      <c r="I403" s="31"/>
      <c r="J403" s="31"/>
    </row>
    <row r="404" spans="1:10" hidden="1" x14ac:dyDescent="0.25">
      <c r="A404" s="11" t="s">
        <v>111</v>
      </c>
      <c r="B404" s="200" t="s">
        <v>2</v>
      </c>
      <c r="C404" s="263">
        <f>IFERROR(VLOOKUP(C402,'5. Depreciação'!A3:B17,2,FALSE),0)</f>
        <v>55.679999999999993</v>
      </c>
      <c r="D404" s="233">
        <f>E401</f>
        <v>130000</v>
      </c>
      <c r="E404" s="233">
        <f>C404*D404/100</f>
        <v>72383.999999999985</v>
      </c>
      <c r="I404" s="31"/>
      <c r="J404" s="31"/>
    </row>
    <row r="405" spans="1:10" ht="13.8" hidden="1" thickBot="1" x14ac:dyDescent="0.3">
      <c r="A405" s="158" t="s">
        <v>52</v>
      </c>
      <c r="B405" s="208" t="s">
        <v>8</v>
      </c>
      <c r="C405" s="208">
        <f>C402*12</f>
        <v>60</v>
      </c>
      <c r="D405" s="240">
        <f>IF(C403&lt;=C402,E404,0)</f>
        <v>72383.999999999985</v>
      </c>
      <c r="E405" s="240">
        <f>IFERROR(D405/C405,0)</f>
        <v>1206.3999999999999</v>
      </c>
      <c r="I405" s="31"/>
      <c r="J405" s="31"/>
    </row>
    <row r="406" spans="1:10" ht="13.8" hidden="1" thickTop="1" x14ac:dyDescent="0.25">
      <c r="A406" s="10" t="s">
        <v>112</v>
      </c>
      <c r="B406" s="199" t="s">
        <v>10</v>
      </c>
      <c r="C406" s="199">
        <v>1</v>
      </c>
      <c r="D406" s="232">
        <v>30000</v>
      </c>
      <c r="E406" s="232">
        <f>C406*D406</f>
        <v>30000</v>
      </c>
      <c r="I406" s="31"/>
      <c r="J406" s="31"/>
    </row>
    <row r="407" spans="1:10" hidden="1" x14ac:dyDescent="0.25">
      <c r="A407" s="11" t="s">
        <v>109</v>
      </c>
      <c r="B407" s="200" t="s">
        <v>108</v>
      </c>
      <c r="C407" s="200">
        <v>5</v>
      </c>
      <c r="D407" s="233"/>
      <c r="E407" s="233"/>
      <c r="I407" s="31"/>
      <c r="J407" s="31"/>
    </row>
    <row r="408" spans="1:10" hidden="1" x14ac:dyDescent="0.25">
      <c r="A408" s="11" t="s">
        <v>222</v>
      </c>
      <c r="B408" s="200" t="s">
        <v>108</v>
      </c>
      <c r="C408" s="200">
        <v>3</v>
      </c>
      <c r="D408" s="233"/>
      <c r="E408" s="233"/>
      <c r="F408" s="283"/>
      <c r="I408" s="31"/>
      <c r="J408" s="31"/>
    </row>
    <row r="409" spans="1:10" hidden="1" x14ac:dyDescent="0.25">
      <c r="A409" s="11" t="s">
        <v>110</v>
      </c>
      <c r="B409" s="200" t="s">
        <v>2</v>
      </c>
      <c r="C409" s="263">
        <f>IFERROR(VLOOKUP(C407,'5. Depreciação'!A3:B17,2,FALSE),0)</f>
        <v>55.679999999999993</v>
      </c>
      <c r="D409" s="233">
        <f>E406</f>
        <v>30000</v>
      </c>
      <c r="E409" s="233">
        <f>C409*D409/100</f>
        <v>16703.999999999996</v>
      </c>
      <c r="I409" s="31"/>
      <c r="J409" s="31"/>
    </row>
    <row r="410" spans="1:10" hidden="1" x14ac:dyDescent="0.25">
      <c r="A410" s="32" t="s">
        <v>114</v>
      </c>
      <c r="B410" s="209" t="s">
        <v>8</v>
      </c>
      <c r="C410" s="209">
        <f>C407*12</f>
        <v>60</v>
      </c>
      <c r="D410" s="241">
        <f>IF(C408&lt;=C407,E409,0)</f>
        <v>16703.999999999996</v>
      </c>
      <c r="E410" s="241">
        <f>IFERROR(D410/C410,0)</f>
        <v>278.39999999999992</v>
      </c>
      <c r="I410" s="31"/>
      <c r="J410" s="31"/>
    </row>
    <row r="411" spans="1:10" hidden="1" x14ac:dyDescent="0.25">
      <c r="A411" s="37" t="s">
        <v>276</v>
      </c>
      <c r="B411" s="201"/>
      <c r="C411" s="201"/>
      <c r="D411" s="234"/>
      <c r="E411" s="262">
        <f>E405+E410</f>
        <v>1484.7999999999997</v>
      </c>
      <c r="I411" s="31"/>
      <c r="J411" s="31"/>
    </row>
    <row r="412" spans="1:10" ht="13.8" hidden="1" thickBot="1" x14ac:dyDescent="0.3">
      <c r="A412" s="32" t="s">
        <v>277</v>
      </c>
      <c r="B412" s="209" t="s">
        <v>10</v>
      </c>
      <c r="C412" s="200"/>
      <c r="D412" s="241">
        <f>E411</f>
        <v>1484.7999999999997</v>
      </c>
      <c r="E412" s="262">
        <f>C412*D412</f>
        <v>0</v>
      </c>
      <c r="I412" s="31"/>
      <c r="J412" s="31"/>
    </row>
    <row r="413" spans="1:10" ht="13.8" hidden="1" thickBot="1" x14ac:dyDescent="0.3">
      <c r="A413" s="153"/>
      <c r="B413" s="210"/>
      <c r="C413" s="210"/>
      <c r="D413" s="235" t="s">
        <v>204</v>
      </c>
      <c r="E413" s="263">
        <v>1</v>
      </c>
      <c r="F413" s="282">
        <f>E412*E413</f>
        <v>0</v>
      </c>
      <c r="I413" s="31"/>
      <c r="J413" s="31"/>
    </row>
    <row r="414" spans="1:10" hidden="1" x14ac:dyDescent="0.25">
      <c r="I414" s="31"/>
      <c r="J414" s="31"/>
    </row>
    <row r="415" spans="1:10" ht="13.8" hidden="1" thickBot="1" x14ac:dyDescent="0.3">
      <c r="A415" s="33" t="s">
        <v>329</v>
      </c>
      <c r="I415" s="31"/>
      <c r="J415" s="31"/>
    </row>
    <row r="416" spans="1:10" ht="13.8" hidden="1" thickBot="1" x14ac:dyDescent="0.3">
      <c r="A416" s="35" t="s">
        <v>66</v>
      </c>
      <c r="B416" s="211" t="s">
        <v>67</v>
      </c>
      <c r="C416" s="211" t="s">
        <v>42</v>
      </c>
      <c r="D416" s="231" t="s">
        <v>252</v>
      </c>
      <c r="E416" s="266" t="s">
        <v>68</v>
      </c>
      <c r="F416" s="276" t="s">
        <v>69</v>
      </c>
      <c r="I416" s="31"/>
      <c r="J416" s="31"/>
    </row>
    <row r="417" spans="1:10" hidden="1" x14ac:dyDescent="0.25">
      <c r="A417" s="11" t="s">
        <v>117</v>
      </c>
      <c r="B417" s="200" t="s">
        <v>10</v>
      </c>
      <c r="C417" s="199">
        <v>1</v>
      </c>
      <c r="D417" s="233">
        <f>D401</f>
        <v>130000</v>
      </c>
      <c r="E417" s="233">
        <f>C417*D417</f>
        <v>130000</v>
      </c>
      <c r="F417" s="283"/>
      <c r="I417" s="31"/>
      <c r="J417" s="31"/>
    </row>
    <row r="418" spans="1:10" hidden="1" x14ac:dyDescent="0.25">
      <c r="A418" s="11" t="s">
        <v>225</v>
      </c>
      <c r="B418" s="200" t="s">
        <v>2</v>
      </c>
      <c r="C418" s="200">
        <v>6.5</v>
      </c>
      <c r="D418" s="233"/>
      <c r="E418" s="233"/>
      <c r="F418" s="283"/>
      <c r="I418" s="31"/>
      <c r="J418" s="31"/>
    </row>
    <row r="419" spans="1:10" hidden="1" x14ac:dyDescent="0.25">
      <c r="A419" s="11" t="s">
        <v>223</v>
      </c>
      <c r="B419" s="200" t="s">
        <v>35</v>
      </c>
      <c r="C419" s="295">
        <f>IFERROR(IF(C403&lt;=C402,E401-(C404/(100*C402)*C403)*E401,E401-E404),0)</f>
        <v>86569.600000000006</v>
      </c>
      <c r="D419" s="233"/>
      <c r="E419" s="233"/>
      <c r="F419" s="283"/>
      <c r="I419" s="31"/>
      <c r="J419" s="31"/>
    </row>
    <row r="420" spans="1:10" hidden="1" x14ac:dyDescent="0.25">
      <c r="A420" s="11" t="s">
        <v>122</v>
      </c>
      <c r="B420" s="200" t="s">
        <v>35</v>
      </c>
      <c r="C420" s="233">
        <f>IFERROR(IF(C403&gt;=C402,C419,((((C419)-(E401-E404))*(((C402-C403)+1)/(2*(C402-C403))))+(E401-E404))),0)</f>
        <v>79331.200000000012</v>
      </c>
      <c r="D420" s="233"/>
      <c r="E420" s="233"/>
      <c r="F420" s="283"/>
      <c r="I420" s="31"/>
      <c r="J420" s="31"/>
    </row>
    <row r="421" spans="1:10" ht="13.8" hidden="1" thickBot="1" x14ac:dyDescent="0.3">
      <c r="A421" s="158" t="s">
        <v>123</v>
      </c>
      <c r="B421" s="208" t="s">
        <v>35</v>
      </c>
      <c r="C421" s="208"/>
      <c r="D421" s="240">
        <f>C418*C420/12/100</f>
        <v>429.71066666666673</v>
      </c>
      <c r="E421" s="240">
        <f>D421</f>
        <v>429.71066666666673</v>
      </c>
      <c r="F421" s="283"/>
      <c r="I421" s="31"/>
      <c r="J421" s="31"/>
    </row>
    <row r="422" spans="1:10" ht="13.8" hidden="1" thickTop="1" x14ac:dyDescent="0.25">
      <c r="A422" s="10" t="s">
        <v>118</v>
      </c>
      <c r="B422" s="199" t="s">
        <v>10</v>
      </c>
      <c r="C422" s="199">
        <f>C406</f>
        <v>1</v>
      </c>
      <c r="D422" s="232">
        <f>D406</f>
        <v>30000</v>
      </c>
      <c r="E422" s="232">
        <f>C422*D422</f>
        <v>30000</v>
      </c>
      <c r="F422" s="283"/>
      <c r="I422" s="31"/>
      <c r="J422" s="31"/>
    </row>
    <row r="423" spans="1:10" hidden="1" x14ac:dyDescent="0.25">
      <c r="A423" s="11" t="s">
        <v>225</v>
      </c>
      <c r="B423" s="200" t="s">
        <v>2</v>
      </c>
      <c r="C423" s="200">
        <f>C418</f>
        <v>6.5</v>
      </c>
      <c r="D423" s="233"/>
      <c r="E423" s="233"/>
      <c r="F423" s="283"/>
      <c r="I423" s="31"/>
      <c r="J423" s="31"/>
    </row>
    <row r="424" spans="1:10" hidden="1" x14ac:dyDescent="0.25">
      <c r="A424" s="11" t="s">
        <v>224</v>
      </c>
      <c r="B424" s="200" t="s">
        <v>35</v>
      </c>
      <c r="C424" s="295">
        <f>IFERROR(IF(C408&lt;=C407,E406-(C409/(100*C407)*C408)*E406,E406-E409),0)</f>
        <v>19977.600000000002</v>
      </c>
      <c r="D424" s="233"/>
      <c r="E424" s="233"/>
      <c r="F424" s="283"/>
      <c r="I424" s="31"/>
      <c r="J424" s="31"/>
    </row>
    <row r="425" spans="1:10" hidden="1" x14ac:dyDescent="0.25">
      <c r="A425" s="11" t="s">
        <v>124</v>
      </c>
      <c r="B425" s="200" t="s">
        <v>35</v>
      </c>
      <c r="C425" s="233">
        <f>IFERROR(IF(C408&gt;=C407,C424,((((C424)-(E406-E409))*(((C407-C408)+1)/(2*(C407-C408))))+(E406-E409))),0)</f>
        <v>18307.200000000004</v>
      </c>
      <c r="D425" s="233"/>
      <c r="E425" s="233"/>
      <c r="F425" s="283"/>
      <c r="I425" s="31"/>
      <c r="J425" s="31"/>
    </row>
    <row r="426" spans="1:10" hidden="1" x14ac:dyDescent="0.25">
      <c r="A426" s="32" t="s">
        <v>121</v>
      </c>
      <c r="B426" s="209" t="s">
        <v>35</v>
      </c>
      <c r="C426" s="209"/>
      <c r="D426" s="241">
        <f>C423*C425/12/100</f>
        <v>99.16400000000003</v>
      </c>
      <c r="E426" s="241">
        <f>D426</f>
        <v>99.16400000000003</v>
      </c>
      <c r="F426" s="283"/>
      <c r="I426" s="31"/>
      <c r="J426" s="31"/>
    </row>
    <row r="427" spans="1:10" hidden="1" x14ac:dyDescent="0.25">
      <c r="A427" s="37" t="s">
        <v>276</v>
      </c>
      <c r="B427" s="201"/>
      <c r="C427" s="201"/>
      <c r="D427" s="234"/>
      <c r="E427" s="262">
        <f>E421+E426</f>
        <v>528.87466666666671</v>
      </c>
      <c r="F427" s="283"/>
      <c r="I427" s="31"/>
      <c r="J427" s="31"/>
    </row>
    <row r="428" spans="1:10" ht="13.8" hidden="1" thickBot="1" x14ac:dyDescent="0.3">
      <c r="A428" s="32" t="s">
        <v>277</v>
      </c>
      <c r="B428" s="209" t="s">
        <v>10</v>
      </c>
      <c r="C428" s="200"/>
      <c r="D428" s="241">
        <f>E427</f>
        <v>528.87466666666671</v>
      </c>
      <c r="E428" s="262">
        <f>C428*D428</f>
        <v>0</v>
      </c>
      <c r="F428" s="283"/>
      <c r="I428" s="31"/>
      <c r="J428" s="31"/>
    </row>
    <row r="429" spans="1:10" ht="13.8" hidden="1" thickBot="1" x14ac:dyDescent="0.3">
      <c r="C429" s="296"/>
      <c r="D429" s="235" t="s">
        <v>204</v>
      </c>
      <c r="E429" s="263">
        <v>1</v>
      </c>
      <c r="F429" s="282">
        <f>E428*E429</f>
        <v>0</v>
      </c>
      <c r="I429" s="31"/>
      <c r="J429" s="31"/>
    </row>
    <row r="430" spans="1:10" hidden="1" x14ac:dyDescent="0.25">
      <c r="I430" s="31"/>
      <c r="J430" s="31"/>
    </row>
    <row r="431" spans="1:10" ht="13.8" hidden="1" thickBot="1" x14ac:dyDescent="0.3">
      <c r="A431" s="5" t="s">
        <v>330</v>
      </c>
      <c r="I431" s="31"/>
      <c r="J431" s="31"/>
    </row>
    <row r="432" spans="1:10" ht="13.8" hidden="1" thickBot="1" x14ac:dyDescent="0.3">
      <c r="A432" s="23" t="s">
        <v>66</v>
      </c>
      <c r="B432" s="198" t="s">
        <v>67</v>
      </c>
      <c r="C432" s="198" t="s">
        <v>42</v>
      </c>
      <c r="D432" s="231" t="s">
        <v>252</v>
      </c>
      <c r="E432" s="231" t="s">
        <v>68</v>
      </c>
      <c r="F432" s="276" t="s">
        <v>69</v>
      </c>
      <c r="I432" s="31"/>
      <c r="J432" s="31"/>
    </row>
    <row r="433" spans="1:10" hidden="1" x14ac:dyDescent="0.25">
      <c r="A433" s="10" t="s">
        <v>12</v>
      </c>
      <c r="B433" s="199" t="s">
        <v>10</v>
      </c>
      <c r="C433" s="232"/>
      <c r="D433" s="232">
        <f>0.01*($E$253)</f>
        <v>1500</v>
      </c>
      <c r="E433" s="232">
        <f>C433*D433</f>
        <v>0</v>
      </c>
      <c r="I433" s="31"/>
      <c r="J433" s="31"/>
    </row>
    <row r="434" spans="1:10" hidden="1" x14ac:dyDescent="0.25">
      <c r="A434" s="11" t="s">
        <v>203</v>
      </c>
      <c r="B434" s="200" t="s">
        <v>10</v>
      </c>
      <c r="C434" s="232"/>
      <c r="D434" s="233">
        <v>150</v>
      </c>
      <c r="E434" s="233">
        <f>C434*D434</f>
        <v>0</v>
      </c>
      <c r="I434" s="31"/>
      <c r="J434" s="31"/>
    </row>
    <row r="435" spans="1:10" hidden="1" x14ac:dyDescent="0.25">
      <c r="A435" s="11" t="s">
        <v>13</v>
      </c>
      <c r="B435" s="200" t="s">
        <v>10</v>
      </c>
      <c r="C435" s="232"/>
      <c r="D435" s="233">
        <v>2200</v>
      </c>
      <c r="E435" s="233">
        <f>C435*D435</f>
        <v>0</v>
      </c>
      <c r="F435" s="279"/>
      <c r="I435" s="31"/>
      <c r="J435" s="31"/>
    </row>
    <row r="436" spans="1:10" ht="13.8" hidden="1" thickBot="1" x14ac:dyDescent="0.3">
      <c r="A436" s="32" t="s">
        <v>14</v>
      </c>
      <c r="B436" s="209" t="s">
        <v>8</v>
      </c>
      <c r="C436" s="209">
        <v>12</v>
      </c>
      <c r="D436" s="241">
        <f>SUM(E433:E435)</f>
        <v>0</v>
      </c>
      <c r="E436" s="241">
        <f>D436/C436</f>
        <v>0</v>
      </c>
      <c r="I436" s="31"/>
      <c r="J436" s="31"/>
    </row>
    <row r="437" spans="1:10" ht="13.8" hidden="1" thickBot="1" x14ac:dyDescent="0.3">
      <c r="D437" s="235" t="s">
        <v>204</v>
      </c>
      <c r="E437" s="263">
        <v>1</v>
      </c>
      <c r="F437" s="277">
        <f>E436*E437</f>
        <v>0</v>
      </c>
      <c r="I437" s="31"/>
      <c r="J437" s="31"/>
    </row>
    <row r="438" spans="1:10" hidden="1" x14ac:dyDescent="0.25">
      <c r="I438" s="31"/>
      <c r="J438" s="31"/>
    </row>
    <row r="439" spans="1:10" hidden="1" x14ac:dyDescent="0.25">
      <c r="A439" s="5" t="s">
        <v>331</v>
      </c>
      <c r="B439" s="212"/>
      <c r="I439" s="31"/>
      <c r="J439" s="31"/>
    </row>
    <row r="440" spans="1:10" hidden="1" x14ac:dyDescent="0.25">
      <c r="B440" s="212"/>
      <c r="I440" s="31"/>
      <c r="J440" s="31"/>
    </row>
    <row r="441" spans="1:10" hidden="1" x14ac:dyDescent="0.25">
      <c r="A441" s="32" t="s">
        <v>126</v>
      </c>
      <c r="B441" s="213"/>
      <c r="I441" s="31"/>
      <c r="J441" s="31"/>
    </row>
    <row r="442" spans="1:10" ht="13.8" hidden="1" thickBot="1" x14ac:dyDescent="0.3">
      <c r="B442" s="212"/>
      <c r="I442" s="31"/>
      <c r="J442" s="31"/>
    </row>
    <row r="443" spans="1:10" ht="13.8" hidden="1" thickBot="1" x14ac:dyDescent="0.3">
      <c r="A443" s="23" t="s">
        <v>66</v>
      </c>
      <c r="B443" s="198" t="s">
        <v>67</v>
      </c>
      <c r="C443" s="198" t="s">
        <v>275</v>
      </c>
      <c r="D443" s="231" t="s">
        <v>252</v>
      </c>
      <c r="E443" s="231" t="s">
        <v>68</v>
      </c>
      <c r="F443" s="276" t="s">
        <v>69</v>
      </c>
      <c r="I443" s="31"/>
      <c r="J443" s="31"/>
    </row>
    <row r="444" spans="1:10" hidden="1" x14ac:dyDescent="0.25">
      <c r="A444" s="10" t="s">
        <v>15</v>
      </c>
      <c r="B444" s="199" t="s">
        <v>16</v>
      </c>
      <c r="C444" s="297">
        <v>3</v>
      </c>
      <c r="D444" s="242">
        <v>3.34</v>
      </c>
      <c r="E444" s="232"/>
      <c r="I444" s="31"/>
      <c r="J444" s="31"/>
    </row>
    <row r="445" spans="1:10" hidden="1" x14ac:dyDescent="0.25">
      <c r="A445" s="11" t="s">
        <v>17</v>
      </c>
      <c r="B445" s="200" t="s">
        <v>18</v>
      </c>
      <c r="C445" s="291">
        <f>B441</f>
        <v>0</v>
      </c>
      <c r="D445" s="242">
        <f>IFERROR(+D444/C444,"-")</f>
        <v>1.1133333333333333</v>
      </c>
      <c r="E445" s="233">
        <f>IFERROR(C445*D445,"-")</f>
        <v>0</v>
      </c>
      <c r="I445" s="31"/>
      <c r="J445" s="31"/>
    </row>
    <row r="446" spans="1:10" hidden="1" x14ac:dyDescent="0.25">
      <c r="A446" s="11" t="s">
        <v>253</v>
      </c>
      <c r="B446" s="200" t="s">
        <v>19</v>
      </c>
      <c r="C446" s="298">
        <v>6</v>
      </c>
      <c r="D446" s="233">
        <v>13</v>
      </c>
      <c r="E446" s="233"/>
      <c r="I446" s="31"/>
      <c r="J446" s="31"/>
    </row>
    <row r="447" spans="1:10" hidden="1" x14ac:dyDescent="0.25">
      <c r="A447" s="11" t="s">
        <v>20</v>
      </c>
      <c r="B447" s="200" t="s">
        <v>18</v>
      </c>
      <c r="C447" s="291">
        <f>C445</f>
        <v>0</v>
      </c>
      <c r="D447" s="243">
        <f>+C446*D446/1000</f>
        <v>7.8E-2</v>
      </c>
      <c r="E447" s="233">
        <f>C447*D447</f>
        <v>0</v>
      </c>
      <c r="I447" s="31"/>
      <c r="J447" s="31"/>
    </row>
    <row r="448" spans="1:10" hidden="1" x14ac:dyDescent="0.25">
      <c r="A448" s="11" t="s">
        <v>254</v>
      </c>
      <c r="B448" s="200" t="s">
        <v>19</v>
      </c>
      <c r="C448" s="298">
        <v>0.85</v>
      </c>
      <c r="D448" s="233">
        <v>15.8</v>
      </c>
      <c r="E448" s="233"/>
      <c r="I448" s="31"/>
      <c r="J448" s="31"/>
    </row>
    <row r="449" spans="1:10" hidden="1" x14ac:dyDescent="0.25">
      <c r="A449" s="11" t="s">
        <v>21</v>
      </c>
      <c r="B449" s="200" t="s">
        <v>18</v>
      </c>
      <c r="C449" s="291">
        <f>C445</f>
        <v>0</v>
      </c>
      <c r="D449" s="243">
        <f>+C448*D448/1000</f>
        <v>1.3429999999999999E-2</v>
      </c>
      <c r="E449" s="233">
        <f>C449*D449</f>
        <v>0</v>
      </c>
      <c r="I449" s="31"/>
      <c r="J449" s="31"/>
    </row>
    <row r="450" spans="1:10" hidden="1" x14ac:dyDescent="0.25">
      <c r="A450" s="11" t="s">
        <v>255</v>
      </c>
      <c r="B450" s="200" t="s">
        <v>19</v>
      </c>
      <c r="C450" s="298">
        <v>16</v>
      </c>
      <c r="D450" s="233">
        <v>8.25</v>
      </c>
      <c r="E450" s="233"/>
      <c r="I450" s="31"/>
      <c r="J450" s="31"/>
    </row>
    <row r="451" spans="1:10" hidden="1" x14ac:dyDescent="0.25">
      <c r="A451" s="11" t="s">
        <v>22</v>
      </c>
      <c r="B451" s="200" t="s">
        <v>18</v>
      </c>
      <c r="C451" s="291">
        <f>C445</f>
        <v>0</v>
      </c>
      <c r="D451" s="243">
        <f>+C450*D450/1000</f>
        <v>0.13200000000000001</v>
      </c>
      <c r="E451" s="233">
        <f>C451*D451</f>
        <v>0</v>
      </c>
      <c r="I451" s="31"/>
      <c r="J451" s="31"/>
    </row>
    <row r="452" spans="1:10" hidden="1" x14ac:dyDescent="0.25">
      <c r="A452" s="11" t="s">
        <v>23</v>
      </c>
      <c r="B452" s="200" t="s">
        <v>24</v>
      </c>
      <c r="C452" s="298">
        <v>2</v>
      </c>
      <c r="D452" s="233">
        <v>5.4</v>
      </c>
      <c r="E452" s="233"/>
      <c r="I452" s="31"/>
      <c r="J452" s="31"/>
    </row>
    <row r="453" spans="1:10" hidden="1" x14ac:dyDescent="0.25">
      <c r="A453" s="11" t="s">
        <v>25</v>
      </c>
      <c r="B453" s="200" t="s">
        <v>18</v>
      </c>
      <c r="C453" s="291">
        <f>C445</f>
        <v>0</v>
      </c>
      <c r="D453" s="243">
        <f>+C452*D452/1000</f>
        <v>1.0800000000000001E-2</v>
      </c>
      <c r="E453" s="233">
        <f>C453*D453</f>
        <v>0</v>
      </c>
      <c r="I453" s="31"/>
      <c r="J453" s="31"/>
    </row>
    <row r="454" spans="1:10" ht="13.8" hidden="1" thickBot="1" x14ac:dyDescent="0.3">
      <c r="A454" s="32" t="s">
        <v>274</v>
      </c>
      <c r="B454" s="209" t="s">
        <v>127</v>
      </c>
      <c r="C454" s="299"/>
      <c r="D454" s="244">
        <f>IFERROR(D445+D447+D449+D451+D453,0)</f>
        <v>1.3475633333333332</v>
      </c>
      <c r="E454" s="233"/>
      <c r="I454" s="31"/>
      <c r="J454" s="31"/>
    </row>
    <row r="455" spans="1:10" ht="13.8" hidden="1" thickBot="1" x14ac:dyDescent="0.3">
      <c r="F455" s="282">
        <f>SUM(E444:E453)</f>
        <v>0</v>
      </c>
      <c r="I455" s="31"/>
      <c r="J455" s="31"/>
    </row>
    <row r="456" spans="1:10" hidden="1" x14ac:dyDescent="0.25">
      <c r="I456" s="31"/>
      <c r="J456" s="31"/>
    </row>
    <row r="457" spans="1:10" ht="13.8" hidden="1" thickBot="1" x14ac:dyDescent="0.3">
      <c r="A457" s="5" t="s">
        <v>338</v>
      </c>
      <c r="I457" s="31"/>
      <c r="J457" s="31"/>
    </row>
    <row r="458" spans="1:10" ht="13.8" hidden="1" thickBot="1" x14ac:dyDescent="0.3">
      <c r="A458" s="23" t="s">
        <v>66</v>
      </c>
      <c r="B458" s="198" t="s">
        <v>67</v>
      </c>
      <c r="C458" s="198" t="s">
        <v>42</v>
      </c>
      <c r="D458" s="231" t="s">
        <v>252</v>
      </c>
      <c r="E458" s="231" t="s">
        <v>68</v>
      </c>
      <c r="F458" s="276" t="s">
        <v>69</v>
      </c>
      <c r="I458" s="31"/>
      <c r="J458" s="31"/>
    </row>
    <row r="459" spans="1:10" ht="13.8" hidden="1" thickBot="1" x14ac:dyDescent="0.3">
      <c r="A459" s="10" t="s">
        <v>125</v>
      </c>
      <c r="B459" s="199" t="s">
        <v>127</v>
      </c>
      <c r="C459" s="291">
        <f>B441</f>
        <v>0</v>
      </c>
      <c r="D459" s="232">
        <v>0.74</v>
      </c>
      <c r="E459" s="232">
        <f>C459*D459</f>
        <v>0</v>
      </c>
      <c r="I459" s="31"/>
      <c r="J459" s="31"/>
    </row>
    <row r="460" spans="1:10" ht="13.8" hidden="1" thickBot="1" x14ac:dyDescent="0.3">
      <c r="F460" s="282">
        <f>E459</f>
        <v>0</v>
      </c>
      <c r="I460" s="31"/>
      <c r="J460" s="31"/>
    </row>
    <row r="461" spans="1:10" hidden="1" x14ac:dyDescent="0.25">
      <c r="I461" s="31"/>
      <c r="J461" s="31"/>
    </row>
    <row r="462" spans="1:10" ht="13.8" hidden="1" thickBot="1" x14ac:dyDescent="0.3">
      <c r="A462" s="5" t="s">
        <v>332</v>
      </c>
      <c r="I462" s="31"/>
      <c r="J462" s="31"/>
    </row>
    <row r="463" spans="1:10" ht="13.8" hidden="1" thickBot="1" x14ac:dyDescent="0.3">
      <c r="A463" s="23" t="s">
        <v>66</v>
      </c>
      <c r="B463" s="198" t="s">
        <v>67</v>
      </c>
      <c r="C463" s="198" t="s">
        <v>42</v>
      </c>
      <c r="D463" s="231" t="s">
        <v>252</v>
      </c>
      <c r="E463" s="231" t="s">
        <v>68</v>
      </c>
      <c r="F463" s="276" t="s">
        <v>69</v>
      </c>
      <c r="I463" s="31"/>
      <c r="J463" s="31"/>
    </row>
    <row r="464" spans="1:10" hidden="1" x14ac:dyDescent="0.25">
      <c r="A464" s="10" t="s">
        <v>99</v>
      </c>
      <c r="B464" s="199" t="s">
        <v>10</v>
      </c>
      <c r="C464" s="199">
        <v>6</v>
      </c>
      <c r="D464" s="232">
        <v>1400</v>
      </c>
      <c r="E464" s="232">
        <f>C464*D464</f>
        <v>8400</v>
      </c>
      <c r="I464" s="31"/>
      <c r="J464" s="31"/>
    </row>
    <row r="465" spans="1:10" hidden="1" x14ac:dyDescent="0.25">
      <c r="A465" s="10" t="s">
        <v>128</v>
      </c>
      <c r="B465" s="199" t="s">
        <v>10</v>
      </c>
      <c r="C465" s="199">
        <v>2</v>
      </c>
      <c r="D465" s="232"/>
      <c r="E465" s="232"/>
      <c r="I465" s="31"/>
      <c r="J465" s="31"/>
    </row>
    <row r="466" spans="1:10" hidden="1" x14ac:dyDescent="0.25">
      <c r="A466" s="10" t="s">
        <v>74</v>
      </c>
      <c r="B466" s="199" t="s">
        <v>10</v>
      </c>
      <c r="C466" s="232">
        <f>C464*C465</f>
        <v>12</v>
      </c>
      <c r="D466" s="232">
        <v>450</v>
      </c>
      <c r="E466" s="232">
        <f>C466*D466</f>
        <v>5400</v>
      </c>
      <c r="I466" s="31"/>
      <c r="J466" s="31"/>
    </row>
    <row r="467" spans="1:10" hidden="1" x14ac:dyDescent="0.25">
      <c r="A467" s="11" t="s">
        <v>100</v>
      </c>
      <c r="B467" s="200" t="s">
        <v>26</v>
      </c>
      <c r="C467" s="300">
        <v>60000</v>
      </c>
      <c r="D467" s="233">
        <f>E464+E466</f>
        <v>13800</v>
      </c>
      <c r="E467" s="233">
        <f>IFERROR(D467/C467,"-")</f>
        <v>0.23</v>
      </c>
      <c r="I467" s="31"/>
      <c r="J467" s="31"/>
    </row>
    <row r="468" spans="1:10" ht="13.8" hidden="1" thickBot="1" x14ac:dyDescent="0.3">
      <c r="A468" s="11" t="s">
        <v>57</v>
      </c>
      <c r="B468" s="200" t="s">
        <v>18</v>
      </c>
      <c r="C468" s="291">
        <f>B441</f>
        <v>0</v>
      </c>
      <c r="D468" s="233">
        <f>E467</f>
        <v>0.23</v>
      </c>
      <c r="E468" s="233">
        <f>IFERROR(C468*D468,0)</f>
        <v>0</v>
      </c>
      <c r="I468" s="31"/>
      <c r="J468" s="31"/>
    </row>
    <row r="469" spans="1:10" ht="13.8" hidden="1" thickBot="1" x14ac:dyDescent="0.3">
      <c r="F469" s="282">
        <f>E468</f>
        <v>0</v>
      </c>
      <c r="I469" s="31"/>
      <c r="J469" s="31"/>
    </row>
    <row r="470" spans="1:10" hidden="1" x14ac:dyDescent="0.25">
      <c r="F470" s="279"/>
      <c r="I470" s="31"/>
      <c r="J470" s="31"/>
    </row>
    <row r="471" spans="1:10" ht="11.25" customHeight="1" thickBot="1" x14ac:dyDescent="0.3">
      <c r="G471" s="7"/>
    </row>
    <row r="472" spans="1:10" ht="13.8" thickBot="1" x14ac:dyDescent="0.3">
      <c r="A472" s="12" t="s">
        <v>240</v>
      </c>
      <c r="B472" s="204"/>
      <c r="C472" s="204"/>
      <c r="D472" s="226"/>
      <c r="E472" s="264"/>
      <c r="F472" s="282">
        <f>+SUM(F253:F471)</f>
        <v>21156.823333333334</v>
      </c>
      <c r="G472" s="7"/>
    </row>
    <row r="473" spans="1:10" ht="11.25" customHeight="1" x14ac:dyDescent="0.25">
      <c r="G473" s="7"/>
    </row>
    <row r="474" spans="1:10" x14ac:dyDescent="0.25">
      <c r="A474" s="13" t="s">
        <v>78</v>
      </c>
      <c r="B474" s="214"/>
      <c r="C474" s="214"/>
      <c r="D474" s="245"/>
      <c r="E474" s="245"/>
      <c r="F474" s="279"/>
      <c r="G474" s="7"/>
    </row>
    <row r="475" spans="1:10" ht="11.25" customHeight="1" thickBot="1" x14ac:dyDescent="0.3">
      <c r="G475" s="7"/>
    </row>
    <row r="476" spans="1:10" ht="13.8" thickBot="1" x14ac:dyDescent="0.3">
      <c r="A476" s="23" t="s">
        <v>66</v>
      </c>
      <c r="B476" s="198" t="s">
        <v>67</v>
      </c>
      <c r="C476" s="198" t="s">
        <v>42</v>
      </c>
      <c r="D476" s="231" t="s">
        <v>252</v>
      </c>
      <c r="E476" s="231" t="s">
        <v>68</v>
      </c>
      <c r="F476" s="276" t="s">
        <v>69</v>
      </c>
      <c r="G476" s="7"/>
    </row>
    <row r="477" spans="1:10" x14ac:dyDescent="0.25">
      <c r="A477" s="11" t="s">
        <v>75</v>
      </c>
      <c r="B477" s="200" t="s">
        <v>10</v>
      </c>
      <c r="C477" s="294">
        <v>0.16666666666666666</v>
      </c>
      <c r="D477" s="232">
        <v>67</v>
      </c>
      <c r="E477" s="233">
        <f>C477*D477</f>
        <v>11.166666666666666</v>
      </c>
      <c r="F477" s="284"/>
      <c r="G477" s="7"/>
    </row>
    <row r="478" spans="1:10" x14ac:dyDescent="0.25">
      <c r="A478" s="11" t="s">
        <v>28</v>
      </c>
      <c r="B478" s="200" t="s">
        <v>10</v>
      </c>
      <c r="C478" s="294">
        <v>1</v>
      </c>
      <c r="D478" s="232">
        <v>29.3</v>
      </c>
      <c r="E478" s="233">
        <f>C478*D478</f>
        <v>29.3</v>
      </c>
      <c r="F478" s="284"/>
      <c r="G478" s="7"/>
    </row>
    <row r="479" spans="1:10" ht="13.8" thickBot="1" x14ac:dyDescent="0.3">
      <c r="A479" s="11" t="s">
        <v>29</v>
      </c>
      <c r="B479" s="200" t="s">
        <v>10</v>
      </c>
      <c r="C479" s="294">
        <v>1</v>
      </c>
      <c r="D479" s="232">
        <v>18.8</v>
      </c>
      <c r="E479" s="233">
        <f>C479*D479</f>
        <v>18.8</v>
      </c>
      <c r="F479" s="284"/>
      <c r="G479" s="7"/>
    </row>
    <row r="480" spans="1:10" hidden="1" x14ac:dyDescent="0.25">
      <c r="A480" s="11" t="s">
        <v>59</v>
      </c>
      <c r="B480" s="200" t="s">
        <v>60</v>
      </c>
      <c r="C480" s="294"/>
      <c r="D480" s="232">
        <v>400</v>
      </c>
      <c r="E480" s="233">
        <f>C480*D480</f>
        <v>0</v>
      </c>
      <c r="F480" s="284"/>
      <c r="G480" s="7"/>
    </row>
    <row r="481" spans="1:7" ht="13.8" hidden="1" thickBot="1" x14ac:dyDescent="0.3">
      <c r="A481" s="11" t="s">
        <v>62</v>
      </c>
      <c r="B481" s="200" t="s">
        <v>60</v>
      </c>
      <c r="C481" s="294"/>
      <c r="D481" s="232">
        <v>50</v>
      </c>
      <c r="E481" s="233">
        <f>C481*D481</f>
        <v>0</v>
      </c>
      <c r="F481" s="284"/>
      <c r="G481" s="7"/>
    </row>
    <row r="482" spans="1:7" ht="13.8" thickBot="1" x14ac:dyDescent="0.3">
      <c r="A482" s="13"/>
      <c r="B482" s="214"/>
      <c r="C482" s="214"/>
      <c r="D482" s="214"/>
      <c r="E482" s="245"/>
      <c r="F482" s="282">
        <f>SUM(E477:E481)</f>
        <v>59.266666666666666</v>
      </c>
      <c r="G482" s="7"/>
    </row>
    <row r="483" spans="1:7" ht="11.25" customHeight="1" thickBot="1" x14ac:dyDescent="0.3">
      <c r="G483" s="7"/>
    </row>
    <row r="484" spans="1:7" ht="13.8" thickBot="1" x14ac:dyDescent="0.3">
      <c r="A484" s="12" t="s">
        <v>241</v>
      </c>
      <c r="B484" s="204"/>
      <c r="C484" s="204"/>
      <c r="D484" s="226"/>
      <c r="E484" s="264"/>
      <c r="F484" s="282">
        <f>+F482</f>
        <v>59.266666666666666</v>
      </c>
      <c r="G484" s="7"/>
    </row>
    <row r="485" spans="1:7" ht="11.25" customHeight="1" x14ac:dyDescent="0.25">
      <c r="G485" s="7"/>
    </row>
    <row r="486" spans="1:7" x14ac:dyDescent="0.25">
      <c r="A486" s="13" t="s">
        <v>79</v>
      </c>
      <c r="B486" s="214"/>
      <c r="C486" s="214"/>
      <c r="D486" s="245"/>
      <c r="E486" s="245"/>
      <c r="F486" s="279"/>
    </row>
    <row r="487" spans="1:7" ht="11.25" customHeight="1" thickBot="1" x14ac:dyDescent="0.3"/>
    <row r="488" spans="1:7" ht="13.8" thickBot="1" x14ac:dyDescent="0.3">
      <c r="A488" s="23" t="s">
        <v>66</v>
      </c>
      <c r="B488" s="198" t="s">
        <v>67</v>
      </c>
      <c r="C488" s="198" t="s">
        <v>42</v>
      </c>
      <c r="D488" s="231" t="s">
        <v>252</v>
      </c>
      <c r="E488" s="231" t="s">
        <v>68</v>
      </c>
      <c r="F488" s="276" t="s">
        <v>69</v>
      </c>
    </row>
    <row r="489" spans="1:7" hidden="1" x14ac:dyDescent="0.25">
      <c r="A489" s="11" t="s">
        <v>238</v>
      </c>
      <c r="B489" s="215" t="s">
        <v>60</v>
      </c>
      <c r="C489" s="290">
        <f>C253</f>
        <v>1</v>
      </c>
      <c r="D489" s="233"/>
      <c r="E489" s="233">
        <f>+D489*C489</f>
        <v>0</v>
      </c>
      <c r="F489" s="284"/>
    </row>
    <row r="490" spans="1:7" hidden="1" x14ac:dyDescent="0.25">
      <c r="A490" s="11" t="s">
        <v>63</v>
      </c>
      <c r="B490" s="215" t="s">
        <v>8</v>
      </c>
      <c r="C490" s="301">
        <v>60</v>
      </c>
      <c r="D490" s="246">
        <f>SUM(E489:E489)</f>
        <v>0</v>
      </c>
      <c r="E490" s="246">
        <f>+D490/C490</f>
        <v>0</v>
      </c>
      <c r="F490" s="284"/>
    </row>
    <row r="491" spans="1:7" x14ac:dyDescent="0.25">
      <c r="A491" s="11" t="s">
        <v>239</v>
      </c>
      <c r="B491" s="200" t="s">
        <v>10</v>
      </c>
      <c r="C491" s="290">
        <f>+C489</f>
        <v>1</v>
      </c>
      <c r="D491" s="233">
        <v>120</v>
      </c>
      <c r="E491" s="233">
        <f>C491*D491</f>
        <v>120</v>
      </c>
      <c r="F491" s="284"/>
    </row>
    <row r="492" spans="1:7" ht="13.8" thickBot="1" x14ac:dyDescent="0.3">
      <c r="A492" s="11" t="s">
        <v>39</v>
      </c>
      <c r="B492" s="215" t="s">
        <v>8</v>
      </c>
      <c r="C492" s="301">
        <v>1</v>
      </c>
      <c r="D492" s="246">
        <f>+E491</f>
        <v>120</v>
      </c>
      <c r="E492" s="246">
        <f>+D492/C492</f>
        <v>120</v>
      </c>
      <c r="F492" s="284"/>
    </row>
    <row r="493" spans="1:7" ht="13.8" thickBot="1" x14ac:dyDescent="0.3">
      <c r="A493" s="29"/>
      <c r="B493" s="216"/>
      <c r="C493" s="216"/>
      <c r="D493" s="235" t="s">
        <v>204</v>
      </c>
      <c r="E493" s="263">
        <f>$B$68</f>
        <v>1</v>
      </c>
      <c r="F493" s="285">
        <f>(E490+E492)*E493</f>
        <v>120</v>
      </c>
    </row>
    <row r="494" spans="1:7" s="19" customFormat="1" ht="11.25" customHeight="1" thickBot="1" x14ac:dyDescent="0.3">
      <c r="A494" s="7"/>
      <c r="B494" s="183"/>
      <c r="C494" s="183"/>
      <c r="D494" s="220"/>
      <c r="E494" s="220"/>
      <c r="F494" s="220"/>
      <c r="G494" s="30"/>
    </row>
    <row r="495" spans="1:7" ht="13.8" thickBot="1" x14ac:dyDescent="0.3">
      <c r="A495" s="12" t="s">
        <v>237</v>
      </c>
      <c r="B495" s="204"/>
      <c r="C495" s="204"/>
      <c r="D495" s="226"/>
      <c r="E495" s="264"/>
      <c r="F495" s="282">
        <f>+F493</f>
        <v>120</v>
      </c>
    </row>
    <row r="496" spans="1:7" ht="13.8" thickBot="1" x14ac:dyDescent="0.3">
      <c r="A496" s="13"/>
      <c r="B496" s="214"/>
      <c r="C496" s="214"/>
      <c r="D496" s="245"/>
      <c r="E496" s="245"/>
      <c r="F496" s="279"/>
    </row>
    <row r="497" spans="1:6" hidden="1" x14ac:dyDescent="0.25">
      <c r="A497" s="13" t="s">
        <v>314</v>
      </c>
      <c r="B497" s="214"/>
      <c r="C497" s="214"/>
      <c r="D497" s="245"/>
      <c r="E497" s="245"/>
      <c r="F497" s="279"/>
    </row>
    <row r="498" spans="1:6" ht="13.8" hidden="1" thickBot="1" x14ac:dyDescent="0.3"/>
    <row r="499" spans="1:6" ht="13.8" hidden="1" thickBot="1" x14ac:dyDescent="0.3">
      <c r="A499" s="23" t="s">
        <v>66</v>
      </c>
      <c r="B499" s="198" t="s">
        <v>67</v>
      </c>
      <c r="C499" s="198" t="s">
        <v>42</v>
      </c>
      <c r="D499" s="231" t="s">
        <v>252</v>
      </c>
      <c r="E499" s="231" t="s">
        <v>68</v>
      </c>
      <c r="F499" s="276" t="s">
        <v>69</v>
      </c>
    </row>
    <row r="500" spans="1:6" hidden="1" x14ac:dyDescent="0.25">
      <c r="A500" s="181" t="s">
        <v>315</v>
      </c>
      <c r="B500" s="215" t="s">
        <v>8</v>
      </c>
      <c r="C500" s="290">
        <v>1</v>
      </c>
      <c r="D500" s="233"/>
      <c r="E500" s="233">
        <f>+D500*C500</f>
        <v>0</v>
      </c>
      <c r="F500" s="284"/>
    </row>
    <row r="501" spans="1:6" hidden="1" x14ac:dyDescent="0.25">
      <c r="A501" s="181" t="s">
        <v>316</v>
      </c>
      <c r="B501" s="215" t="s">
        <v>8</v>
      </c>
      <c r="C501" s="301"/>
      <c r="D501" s="246">
        <v>75</v>
      </c>
      <c r="E501" s="246">
        <f>+D501*C501</f>
        <v>0</v>
      </c>
      <c r="F501" s="284"/>
    </row>
    <row r="502" spans="1:6" ht="13.8" hidden="1" thickBot="1" x14ac:dyDescent="0.3">
      <c r="A502" s="181" t="s">
        <v>317</v>
      </c>
      <c r="B502" s="215" t="s">
        <v>8</v>
      </c>
      <c r="C502" s="301"/>
      <c r="D502" s="246">
        <f>E500+E501</f>
        <v>0</v>
      </c>
      <c r="E502" s="246"/>
      <c r="F502" s="284"/>
    </row>
    <row r="503" spans="1:6" ht="13.8" hidden="1" thickBot="1" x14ac:dyDescent="0.3">
      <c r="A503" s="29"/>
      <c r="B503" s="216"/>
      <c r="C503" s="216"/>
      <c r="D503" s="235" t="s">
        <v>204</v>
      </c>
      <c r="E503" s="263">
        <f>$B$68</f>
        <v>1</v>
      </c>
      <c r="F503" s="285">
        <f>(E500+E501)*E503</f>
        <v>0</v>
      </c>
    </row>
    <row r="504" spans="1:6" ht="13.8" hidden="1" thickBot="1" x14ac:dyDescent="0.3"/>
    <row r="505" spans="1:6" ht="13.8" hidden="1" thickBot="1" x14ac:dyDescent="0.3">
      <c r="A505" s="12" t="s">
        <v>318</v>
      </c>
      <c r="B505" s="204"/>
      <c r="C505" s="204"/>
      <c r="D505" s="226"/>
      <c r="E505" s="264"/>
      <c r="F505" s="282">
        <f>+F503</f>
        <v>0</v>
      </c>
    </row>
    <row r="506" spans="1:6" hidden="1" x14ac:dyDescent="0.25">
      <c r="A506" s="13"/>
      <c r="B506" s="214"/>
      <c r="C506" s="214"/>
      <c r="D506" s="245"/>
      <c r="E506" s="245"/>
      <c r="F506" s="279"/>
    </row>
    <row r="507" spans="1:6" hidden="1" x14ac:dyDescent="0.25">
      <c r="A507" s="13" t="s">
        <v>326</v>
      </c>
      <c r="B507" s="214"/>
      <c r="C507" s="214"/>
      <c r="D507" s="245"/>
      <c r="E507" s="245"/>
      <c r="F507" s="279"/>
    </row>
    <row r="508" spans="1:6" ht="13.8" hidden="1" thickBot="1" x14ac:dyDescent="0.3"/>
    <row r="509" spans="1:6" ht="13.8" hidden="1" thickBot="1" x14ac:dyDescent="0.3">
      <c r="A509" s="23" t="s">
        <v>66</v>
      </c>
      <c r="B509" s="198" t="s">
        <v>67</v>
      </c>
      <c r="C509" s="198" t="s">
        <v>42</v>
      </c>
      <c r="D509" s="231" t="s">
        <v>252</v>
      </c>
      <c r="E509" s="231" t="s">
        <v>68</v>
      </c>
      <c r="F509" s="276" t="s">
        <v>69</v>
      </c>
    </row>
    <row r="510" spans="1:6" hidden="1" x14ac:dyDescent="0.25">
      <c r="A510" s="182" t="s">
        <v>323</v>
      </c>
      <c r="B510" s="215" t="s">
        <v>281</v>
      </c>
      <c r="C510" s="302"/>
      <c r="D510" s="247">
        <v>89.2</v>
      </c>
      <c r="E510" s="247">
        <f>D510*C510</f>
        <v>0</v>
      </c>
      <c r="F510" s="286"/>
    </row>
    <row r="511" spans="1:6" ht="13.8" hidden="1" thickBot="1" x14ac:dyDescent="0.3">
      <c r="A511" s="182" t="s">
        <v>324</v>
      </c>
      <c r="B511" s="215" t="s">
        <v>8</v>
      </c>
      <c r="C511" s="303">
        <v>1</v>
      </c>
      <c r="D511" s="246">
        <f>E510</f>
        <v>0</v>
      </c>
      <c r="E511" s="246">
        <f>E510</f>
        <v>0</v>
      </c>
      <c r="F511" s="286"/>
    </row>
    <row r="512" spans="1:6" ht="13.8" hidden="1" thickBot="1" x14ac:dyDescent="0.3">
      <c r="A512" s="29"/>
      <c r="B512" s="216"/>
      <c r="C512" s="216"/>
      <c r="D512" s="235" t="s">
        <v>204</v>
      </c>
      <c r="E512" s="263">
        <f>$B$68</f>
        <v>1</v>
      </c>
      <c r="F512" s="285">
        <f>E511</f>
        <v>0</v>
      </c>
    </row>
    <row r="513" spans="1:6" ht="13.8" hidden="1" thickBot="1" x14ac:dyDescent="0.3"/>
    <row r="514" spans="1:6" ht="13.8" hidden="1" thickBot="1" x14ac:dyDescent="0.3">
      <c r="A514" s="12" t="s">
        <v>325</v>
      </c>
      <c r="B514" s="204"/>
      <c r="C514" s="204"/>
      <c r="D514" s="226"/>
      <c r="E514" s="264"/>
      <c r="F514" s="282">
        <f>+F512</f>
        <v>0</v>
      </c>
    </row>
    <row r="515" spans="1:6" hidden="1" x14ac:dyDescent="0.25">
      <c r="A515" s="13"/>
      <c r="B515" s="214"/>
      <c r="C515" s="214"/>
      <c r="D515" s="245"/>
      <c r="E515" s="245"/>
      <c r="F515" s="279"/>
    </row>
    <row r="516" spans="1:6" ht="11.25" hidden="1" customHeight="1" thickBot="1" x14ac:dyDescent="0.3"/>
    <row r="517" spans="1:6" ht="17.25" customHeight="1" thickBot="1" x14ac:dyDescent="0.3">
      <c r="A517" s="12" t="s">
        <v>242</v>
      </c>
      <c r="B517" s="206"/>
      <c r="C517" s="206"/>
      <c r="D517" s="239"/>
      <c r="E517" s="265"/>
      <c r="F517" s="280">
        <f>F211+F245+F472+F484+F495+F514</f>
        <v>23251.519319999999</v>
      </c>
    </row>
    <row r="518" spans="1:6" ht="11.25" customHeight="1" x14ac:dyDescent="0.25"/>
    <row r="519" spans="1:6" x14ac:dyDescent="0.25">
      <c r="A519" s="9" t="s">
        <v>340</v>
      </c>
    </row>
    <row r="520" spans="1:6" ht="11.25" customHeight="1" thickBot="1" x14ac:dyDescent="0.3"/>
    <row r="521" spans="1:6" ht="13.8" thickBot="1" x14ac:dyDescent="0.3">
      <c r="A521" s="23" t="s">
        <v>66</v>
      </c>
      <c r="B521" s="198" t="s">
        <v>67</v>
      </c>
      <c r="C521" s="198" t="s">
        <v>42</v>
      </c>
      <c r="D521" s="231" t="s">
        <v>252</v>
      </c>
      <c r="E521" s="231" t="s">
        <v>68</v>
      </c>
      <c r="F521" s="276" t="s">
        <v>69</v>
      </c>
    </row>
    <row r="522" spans="1:6" ht="13.8" thickBot="1" x14ac:dyDescent="0.3">
      <c r="A522" s="10" t="s">
        <v>38</v>
      </c>
      <c r="B522" s="199" t="s">
        <v>2</v>
      </c>
      <c r="C522" s="233">
        <f>'4.BDI'!C18*100</f>
        <v>22.770000000000003</v>
      </c>
      <c r="D522" s="232">
        <f>F517</f>
        <v>23251.519319999999</v>
      </c>
      <c r="E522" s="232">
        <f>C522*D522/100</f>
        <v>5294.3709491640002</v>
      </c>
    </row>
    <row r="523" spans="1:6" ht="13.8" thickBot="1" x14ac:dyDescent="0.3">
      <c r="F523" s="282">
        <f>+E522</f>
        <v>5294.3709491640002</v>
      </c>
    </row>
    <row r="524" spans="1:6" ht="11.25" customHeight="1" thickBot="1" x14ac:dyDescent="0.3"/>
    <row r="525" spans="1:6" ht="13.8" thickBot="1" x14ac:dyDescent="0.3">
      <c r="A525" s="12" t="s">
        <v>256</v>
      </c>
      <c r="B525" s="206"/>
      <c r="C525" s="206"/>
      <c r="D525" s="239"/>
      <c r="E525" s="265"/>
      <c r="F525" s="280">
        <f>F523</f>
        <v>5294.3709491640002</v>
      </c>
    </row>
    <row r="526" spans="1:6" ht="13.8" thickBot="1" x14ac:dyDescent="0.3">
      <c r="A526" s="13"/>
      <c r="B526" s="214"/>
      <c r="C526" s="214"/>
      <c r="D526" s="245"/>
      <c r="E526" s="245"/>
      <c r="F526" s="279"/>
    </row>
    <row r="527" spans="1:6" ht="11.25" hidden="1" customHeight="1" thickBot="1" x14ac:dyDescent="0.3"/>
    <row r="528" spans="1:6" ht="24.75" customHeight="1" thickBot="1" x14ac:dyDescent="0.3">
      <c r="A528" s="12" t="s">
        <v>243</v>
      </c>
      <c r="B528" s="206"/>
      <c r="C528" s="206"/>
      <c r="D528" s="239"/>
      <c r="E528" s="265"/>
      <c r="F528" s="280">
        <f>F517+F525</f>
        <v>28545.890269164</v>
      </c>
    </row>
    <row r="529" spans="1:7" ht="12.6" customHeight="1" x14ac:dyDescent="0.25">
      <c r="A529" s="21"/>
      <c r="B529" s="217"/>
      <c r="C529" s="217"/>
      <c r="D529" s="248"/>
      <c r="E529" s="248"/>
      <c r="F529" s="248"/>
    </row>
    <row r="530" spans="1:7" ht="16.2" customHeight="1" x14ac:dyDescent="0.25">
      <c r="A530" s="146" t="s">
        <v>236</v>
      </c>
      <c r="B530" s="219"/>
      <c r="C530" s="219"/>
      <c r="D530" s="249">
        <v>100</v>
      </c>
      <c r="E530" s="267" t="s">
        <v>27</v>
      </c>
      <c r="G530" s="8" t="s">
        <v>213</v>
      </c>
    </row>
    <row r="531" spans="1:7" ht="13.8" thickBot="1" x14ac:dyDescent="0.3"/>
    <row r="532" spans="1:7" ht="25.5" customHeight="1" thickBot="1" x14ac:dyDescent="0.3">
      <c r="A532" s="12" t="s">
        <v>73</v>
      </c>
      <c r="B532" s="204"/>
      <c r="C532" s="204"/>
      <c r="D532" s="226"/>
      <c r="E532" s="268" t="s">
        <v>34</v>
      </c>
      <c r="F532" s="287">
        <f>IFERROR(F528/D530,"-")</f>
        <v>285.45890269163999</v>
      </c>
      <c r="G532" s="8" t="s">
        <v>213</v>
      </c>
    </row>
    <row r="533" spans="1:7" ht="12.6" customHeight="1" x14ac:dyDescent="0.25">
      <c r="A533" s="214"/>
      <c r="B533" s="214"/>
      <c r="C533" s="214"/>
      <c r="D533" s="245"/>
      <c r="E533" s="245"/>
      <c r="F533" s="245"/>
    </row>
    <row r="534" spans="1:7" s="3" customFormat="1" ht="19.5" customHeight="1" x14ac:dyDescent="0.25">
      <c r="A534" s="305"/>
      <c r="B534" s="220"/>
      <c r="C534" s="220"/>
      <c r="D534" s="220"/>
      <c r="E534" s="220"/>
      <c r="F534" s="220"/>
      <c r="G534" s="4"/>
    </row>
    <row r="535" spans="1:7" s="3" customFormat="1" ht="18" customHeight="1" x14ac:dyDescent="0.25">
      <c r="A535" s="221"/>
      <c r="B535" s="221"/>
      <c r="C535" s="221"/>
      <c r="D535" s="221"/>
      <c r="E535" s="221"/>
      <c r="F535" s="221"/>
      <c r="G535" s="4"/>
    </row>
    <row r="536" spans="1:7" s="3" customFormat="1" ht="12.75" customHeight="1" x14ac:dyDescent="0.25">
      <c r="A536" s="221"/>
      <c r="B536" s="221"/>
      <c r="C536" s="221"/>
      <c r="D536" s="221"/>
      <c r="E536" s="221"/>
      <c r="F536" s="221"/>
      <c r="G536" s="4"/>
    </row>
    <row r="537" spans="1:7" ht="13.8" x14ac:dyDescent="0.25">
      <c r="A537" s="218"/>
      <c r="B537" s="218"/>
      <c r="C537" s="218"/>
      <c r="D537" s="221"/>
      <c r="E537" s="221"/>
      <c r="F537" s="221"/>
    </row>
    <row r="538" spans="1:7" ht="13.8" x14ac:dyDescent="0.25">
      <c r="A538" s="218"/>
      <c r="B538" s="218"/>
      <c r="C538" s="218"/>
      <c r="D538" s="221"/>
      <c r="E538" s="221"/>
      <c r="F538" s="221"/>
    </row>
    <row r="539" spans="1:7" x14ac:dyDescent="0.25">
      <c r="A539" s="183"/>
    </row>
    <row r="540" spans="1:7" x14ac:dyDescent="0.25">
      <c r="A540" s="183"/>
    </row>
    <row r="541" spans="1:7" x14ac:dyDescent="0.25">
      <c r="A541" s="183"/>
    </row>
    <row r="542" spans="1:7" x14ac:dyDescent="0.25">
      <c r="A542" s="183"/>
    </row>
    <row r="543" spans="1:7" x14ac:dyDescent="0.25">
      <c r="A543" s="183"/>
    </row>
    <row r="545" spans="1:1" x14ac:dyDescent="0.25">
      <c r="A545" s="183"/>
    </row>
    <row r="566" spans="4:7" ht="9" customHeight="1" x14ac:dyDescent="0.25">
      <c r="D566" s="183"/>
      <c r="E566" s="183"/>
      <c r="F566" s="183"/>
      <c r="G566" s="7"/>
    </row>
  </sheetData>
  <mergeCells count="7">
    <mergeCell ref="A61:D61"/>
    <mergeCell ref="A21:C21"/>
    <mergeCell ref="A5:F5"/>
    <mergeCell ref="A6:F6"/>
    <mergeCell ref="A51:D51"/>
    <mergeCell ref="A8:F8"/>
    <mergeCell ref="A50:E50"/>
  </mergeCells>
  <phoneticPr fontId="9" type="noConversion"/>
  <hyperlinks>
    <hyperlink ref="A267" location="AbaRemun" display="3.1.2. Remuneração do Capital"/>
    <hyperlink ref="A251" location="AbaDeprec" display="3.1.1. Depreciação"/>
    <hyperlink ref="A341" location="AbaRemun" display="3.1.2. Remuneração do Capital"/>
    <hyperlink ref="A325" location="AbaDeprec" display="3.1.1. Depreciação"/>
    <hyperlink ref="A415" location="AbaRemun" display="3.1.2. Remuneração do Capital"/>
    <hyperlink ref="A399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5" fitToHeight="0" orientation="portrait" horizontalDpi="4294967293" verticalDpi="4294967293" r:id="rId1"/>
  <headerFooter alignWithMargins="0">
    <oddFooter>&amp;R&amp;P de &amp;N</oddFooter>
  </headerFooter>
  <rowBreaks count="3" manualBreakCount="3">
    <brk id="140" max="5" man="1"/>
    <brk id="356" max="5" man="1"/>
    <brk id="518" max="5" man="1"/>
  </rowBreaks>
  <ignoredErrors>
    <ignoredError sqref="D19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workbookViewId="0">
      <selection activeCell="C22" sqref="C22"/>
    </sheetView>
  </sheetViews>
  <sheetFormatPr defaultColWidth="9.109375" defaultRowHeight="13.2" x14ac:dyDescent="0.25"/>
  <cols>
    <col min="1" max="1" width="13.5546875" style="1" customWidth="1"/>
    <col min="2" max="2" width="36.6640625" style="1" bestFit="1" customWidth="1"/>
    <col min="3" max="3" width="14.5546875" style="1" customWidth="1"/>
    <col min="4" max="4" width="37.33203125" style="50" customWidth="1"/>
    <col min="5" max="10" width="9.109375" style="1"/>
    <col min="11" max="11" width="11" style="1" bestFit="1" customWidth="1"/>
    <col min="12" max="16384" width="9.109375" style="1"/>
  </cols>
  <sheetData>
    <row r="1" spans="1:12" x14ac:dyDescent="0.25">
      <c r="A1" s="9" t="s">
        <v>211</v>
      </c>
    </row>
    <row r="2" spans="1:12" x14ac:dyDescent="0.25">
      <c r="A2" s="42" t="s">
        <v>263</v>
      </c>
    </row>
    <row r="3" spans="1:12" ht="13.8" thickBot="1" x14ac:dyDescent="0.3"/>
    <row r="4" spans="1:12" ht="17.399999999999999" x14ac:dyDescent="0.25">
      <c r="A4" s="323" t="s">
        <v>246</v>
      </c>
      <c r="B4" s="324"/>
      <c r="C4" s="325"/>
      <c r="D4" s="47"/>
      <c r="E4" s="47"/>
      <c r="F4" s="47"/>
    </row>
    <row r="5" spans="1:12" ht="13.8" x14ac:dyDescent="0.25">
      <c r="A5" s="63" t="s">
        <v>149</v>
      </c>
      <c r="B5" s="64" t="s">
        <v>150</v>
      </c>
      <c r="C5" s="65" t="s">
        <v>151</v>
      </c>
      <c r="D5" s="66"/>
    </row>
    <row r="6" spans="1:12" ht="13.8" x14ac:dyDescent="0.25">
      <c r="A6" s="63" t="s">
        <v>152</v>
      </c>
      <c r="B6" s="64" t="s">
        <v>43</v>
      </c>
      <c r="C6" s="67">
        <v>0.2</v>
      </c>
      <c r="D6" s="66"/>
      <c r="F6" s="50"/>
      <c r="G6" s="50"/>
      <c r="H6" s="50"/>
      <c r="I6" s="50"/>
      <c r="J6" s="50"/>
      <c r="K6" s="50"/>
      <c r="L6" s="50"/>
    </row>
    <row r="7" spans="1:12" ht="13.8" x14ac:dyDescent="0.25">
      <c r="A7" s="63" t="s">
        <v>153</v>
      </c>
      <c r="B7" s="64" t="s">
        <v>154</v>
      </c>
      <c r="C7" s="67">
        <v>1.4999999999999999E-2</v>
      </c>
      <c r="D7" s="66"/>
      <c r="F7" s="50"/>
      <c r="G7" s="50"/>
      <c r="H7" s="50"/>
      <c r="I7" s="50"/>
      <c r="J7" s="50"/>
      <c r="K7" s="50"/>
      <c r="L7" s="50"/>
    </row>
    <row r="8" spans="1:12" ht="13.8" x14ac:dyDescent="0.25">
      <c r="A8" s="63" t="s">
        <v>155</v>
      </c>
      <c r="B8" s="64" t="s">
        <v>156</v>
      </c>
      <c r="C8" s="67">
        <v>0.01</v>
      </c>
      <c r="D8" s="66"/>
      <c r="F8" s="50"/>
      <c r="G8" s="50"/>
      <c r="H8" s="50"/>
      <c r="I8" s="50"/>
      <c r="J8" s="50"/>
      <c r="K8" s="50"/>
      <c r="L8" s="50"/>
    </row>
    <row r="9" spans="1:12" ht="13.8" x14ac:dyDescent="0.25">
      <c r="A9" s="63" t="s">
        <v>157</v>
      </c>
      <c r="B9" s="64" t="s">
        <v>158</v>
      </c>
      <c r="C9" s="67">
        <v>2E-3</v>
      </c>
      <c r="D9" s="66"/>
      <c r="F9" s="50"/>
      <c r="G9" s="50"/>
      <c r="H9" s="50"/>
      <c r="I9" s="50"/>
      <c r="J9" s="50"/>
      <c r="K9" s="50"/>
      <c r="L9" s="50"/>
    </row>
    <row r="10" spans="1:12" ht="13.8" x14ac:dyDescent="0.25">
      <c r="A10" s="63" t="s">
        <v>159</v>
      </c>
      <c r="B10" s="64" t="s">
        <v>160</v>
      </c>
      <c r="C10" s="67">
        <v>6.0000000000000001E-3</v>
      </c>
      <c r="D10" s="66"/>
      <c r="F10" s="50"/>
      <c r="G10" s="50"/>
      <c r="H10" s="50"/>
      <c r="I10" s="50"/>
      <c r="J10" s="50"/>
      <c r="K10" s="50"/>
      <c r="L10" s="50"/>
    </row>
    <row r="11" spans="1:12" ht="13.8" x14ac:dyDescent="0.25">
      <c r="A11" s="63" t="s">
        <v>161</v>
      </c>
      <c r="B11" s="64" t="s">
        <v>162</v>
      </c>
      <c r="C11" s="67">
        <v>2.5000000000000001E-2</v>
      </c>
      <c r="D11" s="66"/>
      <c r="F11" s="50"/>
      <c r="G11" s="50"/>
      <c r="H11" s="50"/>
      <c r="I11" s="50"/>
      <c r="J11" s="50"/>
      <c r="K11" s="50"/>
      <c r="L11" s="50"/>
    </row>
    <row r="12" spans="1:12" ht="13.8" x14ac:dyDescent="0.25">
      <c r="A12" s="63" t="s">
        <v>163</v>
      </c>
      <c r="B12" s="64" t="s">
        <v>164</v>
      </c>
      <c r="C12" s="67">
        <v>0.03</v>
      </c>
      <c r="D12" s="66"/>
      <c r="F12" s="50"/>
      <c r="G12" s="50"/>
      <c r="H12" s="50"/>
      <c r="I12" s="50"/>
      <c r="J12" s="50"/>
      <c r="K12" s="50"/>
      <c r="L12" s="50"/>
    </row>
    <row r="13" spans="1:12" ht="13.8" x14ac:dyDescent="0.25">
      <c r="A13" s="63" t="s">
        <v>165</v>
      </c>
      <c r="B13" s="64" t="s">
        <v>44</v>
      </c>
      <c r="C13" s="67">
        <v>0.08</v>
      </c>
      <c r="D13" s="68"/>
      <c r="F13" s="50"/>
      <c r="G13" s="50"/>
      <c r="H13" s="50"/>
      <c r="I13" s="50"/>
      <c r="J13" s="50"/>
      <c r="K13" s="50"/>
      <c r="L13" s="50"/>
    </row>
    <row r="14" spans="1:12" ht="13.8" x14ac:dyDescent="0.25">
      <c r="A14" s="63" t="s">
        <v>166</v>
      </c>
      <c r="B14" s="69" t="s">
        <v>167</v>
      </c>
      <c r="C14" s="70">
        <f>SUM(C6:C13)</f>
        <v>0.36800000000000005</v>
      </c>
      <c r="D14" s="68"/>
      <c r="F14" s="50"/>
      <c r="G14" s="50"/>
      <c r="H14" s="50"/>
      <c r="I14" s="50"/>
      <c r="J14" s="50"/>
      <c r="K14" s="50"/>
      <c r="L14" s="50"/>
    </row>
    <row r="15" spans="1:12" ht="13.8" x14ac:dyDescent="0.25">
      <c r="A15" s="71"/>
      <c r="B15" s="72"/>
      <c r="C15" s="73"/>
      <c r="D15" s="68"/>
      <c r="F15" s="50"/>
      <c r="G15" s="50"/>
      <c r="H15" s="50"/>
      <c r="I15" s="50"/>
      <c r="J15" s="50"/>
      <c r="K15" s="50"/>
      <c r="L15" s="50"/>
    </row>
    <row r="16" spans="1:12" ht="13.8" x14ac:dyDescent="0.25">
      <c r="A16" s="63" t="s">
        <v>168</v>
      </c>
      <c r="B16" s="74" t="s">
        <v>169</v>
      </c>
      <c r="C16" s="67">
        <f>ROUND(IF('3.CAGED'!C39&gt;24,(1-12/'3.CAGED'!C39)*0.1111,0.1111-C25),4)</f>
        <v>4.9000000000000002E-2</v>
      </c>
      <c r="D16" s="68"/>
      <c r="F16" s="50"/>
      <c r="G16" s="50"/>
      <c r="H16" s="50"/>
      <c r="I16" s="50"/>
      <c r="J16" s="50"/>
      <c r="K16" s="50"/>
      <c r="L16" s="50"/>
    </row>
    <row r="17" spans="1:12" ht="13.8" x14ac:dyDescent="0.25">
      <c r="A17" s="63" t="s">
        <v>170</v>
      </c>
      <c r="B17" s="74" t="s">
        <v>171</v>
      </c>
      <c r="C17" s="67">
        <f>ROUND('3.CAGED'!C33/'3.CAGED'!C30,4)</f>
        <v>8.3299999999999999E-2</v>
      </c>
      <c r="D17" s="68"/>
      <c r="F17" s="50"/>
      <c r="G17" s="50"/>
      <c r="H17" s="50"/>
      <c r="I17" s="50"/>
      <c r="J17" s="50"/>
      <c r="K17" s="50"/>
      <c r="L17" s="50"/>
    </row>
    <row r="18" spans="1:12" ht="13.8" x14ac:dyDescent="0.25">
      <c r="A18" s="63" t="s">
        <v>235</v>
      </c>
      <c r="B18" s="74" t="s">
        <v>173</v>
      </c>
      <c r="C18" s="67">
        <v>5.9999999999999995E-4</v>
      </c>
      <c r="D18" s="68"/>
      <c r="F18" s="50"/>
      <c r="G18" s="50"/>
      <c r="H18" s="50"/>
      <c r="I18" s="50"/>
      <c r="J18" s="50"/>
      <c r="K18" s="50"/>
      <c r="L18" s="50"/>
    </row>
    <row r="19" spans="1:12" ht="13.8" x14ac:dyDescent="0.25">
      <c r="A19" s="63" t="s">
        <v>172</v>
      </c>
      <c r="B19" s="74" t="s">
        <v>175</v>
      </c>
      <c r="C19" s="67">
        <v>8.2000000000000007E-3</v>
      </c>
      <c r="D19" s="68"/>
      <c r="F19" s="50"/>
      <c r="G19" s="50"/>
      <c r="H19" s="50"/>
      <c r="I19" s="50"/>
      <c r="J19" s="50"/>
      <c r="K19" s="50"/>
      <c r="L19" s="50"/>
    </row>
    <row r="20" spans="1:12" ht="13.8" x14ac:dyDescent="0.25">
      <c r="A20" s="63" t="s">
        <v>174</v>
      </c>
      <c r="B20" s="74" t="s">
        <v>177</v>
      </c>
      <c r="C20" s="67">
        <v>3.0999999999999999E-3</v>
      </c>
      <c r="D20" s="68"/>
      <c r="F20" s="50"/>
      <c r="G20" s="50"/>
      <c r="H20" s="50"/>
      <c r="I20" s="50"/>
      <c r="J20" s="50"/>
      <c r="K20" s="50"/>
      <c r="L20" s="50"/>
    </row>
    <row r="21" spans="1:12" ht="13.8" x14ac:dyDescent="0.25">
      <c r="A21" s="63" t="s">
        <v>176</v>
      </c>
      <c r="B21" s="74" t="s">
        <v>178</v>
      </c>
      <c r="C21" s="67">
        <v>1.66E-2</v>
      </c>
      <c r="D21" s="68"/>
      <c r="F21" s="50"/>
      <c r="G21" s="50"/>
      <c r="H21" s="50"/>
      <c r="I21" s="50"/>
      <c r="J21" s="50"/>
      <c r="K21" s="50"/>
      <c r="L21" s="50"/>
    </row>
    <row r="22" spans="1:12" ht="13.8" x14ac:dyDescent="0.25">
      <c r="A22" s="63" t="s">
        <v>179</v>
      </c>
      <c r="B22" s="69" t="s">
        <v>180</v>
      </c>
      <c r="C22" s="70">
        <f>SUM(C16:C21)</f>
        <v>0.1608</v>
      </c>
      <c r="D22" s="75"/>
      <c r="F22" s="50"/>
      <c r="G22" s="50"/>
      <c r="H22" s="50"/>
      <c r="I22" s="50"/>
      <c r="J22" s="50"/>
      <c r="K22" s="50"/>
      <c r="L22" s="50"/>
    </row>
    <row r="23" spans="1:12" ht="13.8" x14ac:dyDescent="0.25">
      <c r="A23" s="71"/>
      <c r="B23" s="72"/>
      <c r="C23" s="73"/>
      <c r="D23" s="75"/>
      <c r="F23" s="50"/>
      <c r="G23" s="50"/>
      <c r="H23" s="50"/>
      <c r="I23" s="50"/>
      <c r="J23" s="50"/>
      <c r="K23" s="50"/>
      <c r="L23" s="50"/>
    </row>
    <row r="24" spans="1:12" ht="13.8" x14ac:dyDescent="0.25">
      <c r="A24" s="63" t="s">
        <v>181</v>
      </c>
      <c r="B24" s="64" t="s">
        <v>182</v>
      </c>
      <c r="C24" s="67">
        <f>ROUND(('3.CAGED'!C38) *'3.CAGED'!C29/'3.CAGED'!C30,4)</f>
        <v>4.48E-2</v>
      </c>
      <c r="D24" s="68"/>
      <c r="E24" s="76"/>
      <c r="F24" s="50"/>
      <c r="G24" s="50"/>
      <c r="H24" s="50"/>
      <c r="I24" s="50"/>
      <c r="J24" s="50"/>
      <c r="K24" s="50"/>
      <c r="L24" s="50"/>
    </row>
    <row r="25" spans="1:12" ht="13.8" x14ac:dyDescent="0.25">
      <c r="A25" s="63" t="s">
        <v>234</v>
      </c>
      <c r="B25" s="64" t="s">
        <v>184</v>
      </c>
      <c r="C25" s="67">
        <f>ROUND(IF('3.CAGED'!C39&gt;12,12/'3.CAGED'!C39*0.1111,0.1111),4)</f>
        <v>6.2100000000000002E-2</v>
      </c>
      <c r="D25" s="68"/>
      <c r="F25" s="50"/>
      <c r="G25" s="50"/>
      <c r="H25" s="77"/>
      <c r="I25" s="50"/>
      <c r="J25" s="50"/>
      <c r="K25" s="50"/>
      <c r="L25" s="50"/>
    </row>
    <row r="26" spans="1:12" ht="13.8" x14ac:dyDescent="0.25">
      <c r="A26" s="63" t="s">
        <v>183</v>
      </c>
      <c r="B26" s="64" t="s">
        <v>186</v>
      </c>
      <c r="C26" s="67">
        <f>ROUND(('3.CAGED'!C32+'3.CAGED'!C31)/360*C24,4)</f>
        <v>5.0000000000000001E-3</v>
      </c>
      <c r="D26" s="68"/>
      <c r="F26" s="50"/>
      <c r="G26" s="50"/>
      <c r="H26" s="50"/>
      <c r="I26" s="50"/>
      <c r="J26" s="50"/>
      <c r="K26" s="50"/>
      <c r="L26" s="50"/>
    </row>
    <row r="27" spans="1:12" ht="13.8" x14ac:dyDescent="0.25">
      <c r="A27" s="63" t="s">
        <v>185</v>
      </c>
      <c r="B27" s="64" t="s">
        <v>188</v>
      </c>
      <c r="C27" s="67">
        <f>ROUND(('3.CAGED'!C30+'3.CAGED'!C31+'3.CAGED'!C33)/'3.CAGED'!C28*'3.CAGED'!C35*'3.CAGED'!C36*'3.CAGED'!C29/'3.CAGED'!C30,4)</f>
        <v>3.8899999999999997E-2</v>
      </c>
      <c r="D27" s="68"/>
      <c r="F27" s="50"/>
      <c r="G27" s="78"/>
      <c r="H27" s="50"/>
      <c r="I27" s="50"/>
      <c r="J27" s="50"/>
      <c r="K27" s="50"/>
      <c r="L27" s="50"/>
    </row>
    <row r="28" spans="1:12" ht="13.8" x14ac:dyDescent="0.25">
      <c r="A28" s="63" t="s">
        <v>187</v>
      </c>
      <c r="B28" s="64" t="s">
        <v>189</v>
      </c>
      <c r="C28" s="67">
        <f>ROUND(('3.CAGED'!C32/'3.CAGED'!C30)*'3.CAGED'!C29/12,4)</f>
        <v>3.3999999999999998E-3</v>
      </c>
      <c r="D28" s="68"/>
      <c r="F28" s="50"/>
      <c r="G28" s="50"/>
      <c r="H28" s="50"/>
      <c r="I28" s="50"/>
      <c r="J28" s="50"/>
      <c r="K28" s="50"/>
      <c r="L28" s="50"/>
    </row>
    <row r="29" spans="1:12" ht="13.8" x14ac:dyDescent="0.25">
      <c r="A29" s="63" t="s">
        <v>190</v>
      </c>
      <c r="B29" s="69" t="s">
        <v>191</v>
      </c>
      <c r="C29" s="70">
        <f>SUM(C24:C28)</f>
        <v>0.15419999999999998</v>
      </c>
      <c r="D29" s="75"/>
      <c r="F29" s="50"/>
      <c r="G29" s="50"/>
      <c r="H29" s="50"/>
      <c r="I29" s="50"/>
      <c r="J29" s="50"/>
      <c r="K29" s="50"/>
      <c r="L29" s="50"/>
    </row>
    <row r="30" spans="1:12" ht="13.8" x14ac:dyDescent="0.25">
      <c r="A30" s="71"/>
      <c r="B30" s="72"/>
      <c r="C30" s="73"/>
      <c r="D30" s="75"/>
      <c r="F30" s="50"/>
      <c r="G30" s="50"/>
      <c r="H30" s="50"/>
      <c r="I30" s="50"/>
      <c r="J30" s="50"/>
      <c r="K30" s="50"/>
      <c r="L30" s="50"/>
    </row>
    <row r="31" spans="1:12" ht="13.8" x14ac:dyDescent="0.25">
      <c r="A31" s="63" t="s">
        <v>192</v>
      </c>
      <c r="B31" s="64" t="s">
        <v>193</v>
      </c>
      <c r="C31" s="67">
        <f>ROUND(C14*C22,4)</f>
        <v>5.9200000000000003E-2</v>
      </c>
      <c r="D31" s="68"/>
      <c r="F31" s="50"/>
      <c r="G31" s="50"/>
      <c r="H31" s="50"/>
      <c r="I31" s="50"/>
      <c r="J31" s="50"/>
      <c r="K31" s="50"/>
      <c r="L31" s="50"/>
    </row>
    <row r="32" spans="1:12" ht="27.6" x14ac:dyDescent="0.25">
      <c r="A32" s="63" t="s">
        <v>194</v>
      </c>
      <c r="B32" s="79" t="s">
        <v>195</v>
      </c>
      <c r="C32" s="67">
        <f>ROUND((C24*C14),4)</f>
        <v>1.6500000000000001E-2</v>
      </c>
      <c r="D32" s="68"/>
      <c r="F32" s="50"/>
      <c r="G32" s="50"/>
      <c r="H32" s="50"/>
      <c r="I32" s="50"/>
      <c r="J32" s="50"/>
      <c r="K32" s="50"/>
      <c r="L32" s="50"/>
    </row>
    <row r="33" spans="1:12" ht="13.8" x14ac:dyDescent="0.25">
      <c r="A33" s="63" t="s">
        <v>196</v>
      </c>
      <c r="B33" s="69" t="s">
        <v>197</v>
      </c>
      <c r="C33" s="70">
        <f>SUM(C31:C32)</f>
        <v>7.5700000000000003E-2</v>
      </c>
      <c r="D33" s="80"/>
      <c r="F33" s="50"/>
      <c r="G33" s="50"/>
      <c r="H33" s="50"/>
      <c r="I33" s="50"/>
      <c r="J33" s="50"/>
      <c r="K33" s="50"/>
      <c r="L33" s="50"/>
    </row>
    <row r="34" spans="1:12" ht="14.4" thickBot="1" x14ac:dyDescent="0.3">
      <c r="A34" s="81"/>
      <c r="B34" s="82" t="s">
        <v>198</v>
      </c>
      <c r="C34" s="83">
        <f>C33+C29+C22+C14</f>
        <v>0.75870000000000004</v>
      </c>
      <c r="D34" s="80"/>
      <c r="F34" s="50"/>
      <c r="G34" s="50"/>
      <c r="H34" s="50"/>
      <c r="I34" s="50"/>
      <c r="J34" s="50"/>
      <c r="K34" s="50"/>
      <c r="L34" s="50"/>
    </row>
    <row r="35" spans="1:12" ht="13.8" x14ac:dyDescent="0.25">
      <c r="A35" s="68"/>
      <c r="B35" s="84"/>
      <c r="C35" s="85"/>
      <c r="D35" s="86"/>
      <c r="F35" s="50"/>
      <c r="G35" s="50"/>
      <c r="H35" s="50"/>
      <c r="I35" s="50"/>
      <c r="J35" s="50"/>
      <c r="K35" s="50"/>
      <c r="L35" s="50"/>
    </row>
    <row r="36" spans="1:12" ht="13.8" x14ac:dyDescent="0.25">
      <c r="A36" s="68"/>
      <c r="B36" s="68"/>
      <c r="C36" s="87"/>
      <c r="D36" s="88"/>
      <c r="F36" s="50"/>
      <c r="G36" s="50"/>
      <c r="H36" s="50"/>
      <c r="I36" s="50"/>
      <c r="J36" s="50"/>
      <c r="K36" s="50"/>
      <c r="L36" s="50"/>
    </row>
    <row r="37" spans="1:12" ht="13.8" x14ac:dyDescent="0.25">
      <c r="A37" s="66"/>
      <c r="B37" s="66"/>
      <c r="C37" s="89"/>
      <c r="D37" s="66"/>
      <c r="F37" s="50"/>
      <c r="G37" s="50"/>
      <c r="H37" s="50"/>
      <c r="I37" s="50"/>
      <c r="J37" s="50"/>
      <c r="K37" s="50"/>
      <c r="L37" s="50"/>
    </row>
    <row r="38" spans="1:12" ht="13.8" x14ac:dyDescent="0.25">
      <c r="A38" s="66"/>
      <c r="B38" s="66"/>
      <c r="C38" s="89"/>
      <c r="D38" s="66"/>
      <c r="F38" s="50"/>
      <c r="G38" s="50"/>
      <c r="H38" s="50"/>
      <c r="I38" s="50"/>
      <c r="J38" s="50"/>
      <c r="K38" s="50"/>
      <c r="L38" s="50"/>
    </row>
    <row r="39" spans="1:12" ht="13.8" x14ac:dyDescent="0.25">
      <c r="A39" s="66"/>
      <c r="B39" s="66"/>
      <c r="C39" s="89"/>
      <c r="D39" s="66"/>
      <c r="F39" s="50"/>
      <c r="G39" s="50"/>
      <c r="H39" s="50"/>
      <c r="I39" s="50"/>
      <c r="J39" s="50"/>
      <c r="K39" s="50"/>
      <c r="L39" s="50"/>
    </row>
    <row r="40" spans="1:12" ht="13.8" x14ac:dyDescent="0.25">
      <c r="A40" s="66"/>
      <c r="B40" s="90"/>
      <c r="C40" s="91"/>
      <c r="D40" s="66"/>
      <c r="F40" s="50"/>
      <c r="G40" s="50"/>
      <c r="H40" s="50"/>
      <c r="I40" s="50"/>
      <c r="J40" s="50"/>
      <c r="K40" s="50"/>
      <c r="L40" s="50"/>
    </row>
    <row r="41" spans="1:12" ht="13.8" x14ac:dyDescent="0.25">
      <c r="A41" s="80"/>
      <c r="B41" s="90"/>
      <c r="C41" s="91"/>
      <c r="D41" s="80"/>
      <c r="E41" s="50"/>
      <c r="F41" s="50"/>
      <c r="G41" s="50"/>
      <c r="H41" s="50"/>
      <c r="I41" s="50"/>
      <c r="J41" s="50"/>
      <c r="K41" s="50"/>
      <c r="L41" s="50"/>
    </row>
    <row r="42" spans="1:12" ht="16.8" x14ac:dyDescent="0.25">
      <c r="A42" s="92"/>
      <c r="B42" s="50"/>
      <c r="C42" s="50"/>
      <c r="E42" s="50"/>
      <c r="F42" s="50"/>
      <c r="G42" s="50"/>
      <c r="H42" s="50"/>
      <c r="I42" s="50"/>
      <c r="J42" s="50"/>
      <c r="K42" s="50"/>
      <c r="L42" s="50"/>
    </row>
    <row r="43" spans="1:12" x14ac:dyDescent="0.25">
      <c r="A43" s="93"/>
      <c r="B43" s="94"/>
      <c r="C43" s="94"/>
      <c r="E43" s="50"/>
      <c r="F43" s="50"/>
      <c r="G43" s="50"/>
      <c r="H43" s="50"/>
      <c r="I43" s="50"/>
      <c r="J43" s="50"/>
      <c r="K43" s="50"/>
      <c r="L43" s="50"/>
    </row>
    <row r="44" spans="1:12" ht="13.8" x14ac:dyDescent="0.25">
      <c r="A44" s="66"/>
      <c r="B44" s="95"/>
      <c r="C44" s="94"/>
      <c r="E44" s="50"/>
      <c r="F44" s="50"/>
      <c r="G44" s="50"/>
      <c r="H44" s="50"/>
      <c r="I44" s="50"/>
      <c r="J44" s="50"/>
      <c r="K44" s="50"/>
      <c r="L44" s="50"/>
    </row>
    <row r="45" spans="1:12" ht="13.8" x14ac:dyDescent="0.25">
      <c r="A45" s="66"/>
      <c r="B45" s="95"/>
      <c r="C45" s="66"/>
      <c r="E45" s="50"/>
      <c r="F45" s="50"/>
      <c r="G45" s="50"/>
      <c r="H45" s="50"/>
      <c r="I45" s="50"/>
      <c r="J45" s="50"/>
      <c r="K45" s="50"/>
      <c r="L45" s="50"/>
    </row>
    <row r="46" spans="1:12" ht="13.8" x14ac:dyDescent="0.25">
      <c r="A46" s="66"/>
      <c r="B46" s="89"/>
      <c r="C46" s="94"/>
      <c r="E46" s="50"/>
      <c r="F46" s="50"/>
      <c r="G46" s="50"/>
      <c r="H46" s="50"/>
      <c r="I46" s="50"/>
      <c r="J46" s="50"/>
      <c r="K46" s="50"/>
      <c r="L46" s="50"/>
    </row>
    <row r="47" spans="1:12" ht="13.8" x14ac:dyDescent="0.25">
      <c r="A47" s="66"/>
      <c r="B47" s="95"/>
      <c r="C47" s="66"/>
      <c r="E47" s="50"/>
      <c r="F47" s="50"/>
      <c r="G47" s="50"/>
      <c r="H47" s="50"/>
      <c r="I47" s="50"/>
      <c r="J47" s="50"/>
      <c r="K47" s="50"/>
      <c r="L47" s="50"/>
    </row>
    <row r="48" spans="1:12" ht="13.8" x14ac:dyDescent="0.25">
      <c r="A48" s="66"/>
      <c r="B48" s="89"/>
      <c r="C48" s="94"/>
      <c r="E48" s="50"/>
      <c r="F48" s="50"/>
      <c r="G48" s="50"/>
      <c r="H48" s="50"/>
      <c r="I48" s="50"/>
      <c r="J48" s="50"/>
      <c r="K48" s="50"/>
      <c r="L48" s="50"/>
    </row>
    <row r="49" spans="1:12" ht="13.8" x14ac:dyDescent="0.25">
      <c r="A49" s="66"/>
      <c r="B49" s="95"/>
      <c r="C49" s="66"/>
      <c r="E49" s="50"/>
      <c r="F49" s="50"/>
      <c r="G49" s="50"/>
      <c r="H49" s="50"/>
      <c r="I49" s="50"/>
      <c r="J49" s="50"/>
      <c r="K49" s="50"/>
      <c r="L49" s="50"/>
    </row>
    <row r="50" spans="1:12" ht="13.8" x14ac:dyDescent="0.25">
      <c r="A50" s="66"/>
      <c r="B50" s="89"/>
      <c r="C50" s="94"/>
      <c r="E50" s="50"/>
      <c r="F50" s="50"/>
      <c r="G50" s="50"/>
      <c r="H50" s="50"/>
      <c r="I50" s="50"/>
      <c r="J50" s="50"/>
      <c r="K50" s="50"/>
      <c r="L50" s="50"/>
    </row>
    <row r="51" spans="1:12" ht="13.8" x14ac:dyDescent="0.25">
      <c r="A51" s="66"/>
      <c r="B51" s="95"/>
      <c r="C51" s="66"/>
      <c r="E51" s="50"/>
      <c r="F51" s="50"/>
      <c r="G51" s="50"/>
      <c r="H51" s="50"/>
      <c r="I51" s="50"/>
      <c r="J51" s="50"/>
      <c r="K51" s="50"/>
      <c r="L51" s="50"/>
    </row>
    <row r="52" spans="1:12" ht="13.8" x14ac:dyDescent="0.25">
      <c r="A52" s="66"/>
      <c r="B52" s="89"/>
      <c r="C52" s="94"/>
      <c r="E52" s="50"/>
      <c r="F52" s="50"/>
      <c r="G52" s="50"/>
      <c r="H52" s="50"/>
      <c r="I52" s="50"/>
      <c r="J52" s="50"/>
      <c r="K52" s="50"/>
      <c r="L52" s="50"/>
    </row>
    <row r="53" spans="1:12" ht="16.8" x14ac:dyDescent="0.25">
      <c r="A53" s="92"/>
      <c r="B53" s="50"/>
      <c r="C53" s="50"/>
      <c r="E53" s="50"/>
      <c r="F53" s="50"/>
      <c r="G53" s="50"/>
      <c r="H53" s="50"/>
      <c r="I53" s="50"/>
      <c r="J53" s="50"/>
      <c r="K53" s="50"/>
      <c r="L53" s="50"/>
    </row>
    <row r="54" spans="1:12" x14ac:dyDescent="0.25">
      <c r="A54" s="50"/>
      <c r="B54" s="50"/>
      <c r="C54" s="50"/>
      <c r="E54" s="50"/>
      <c r="F54" s="50"/>
      <c r="G54" s="50"/>
      <c r="H54" s="50"/>
      <c r="I54" s="50"/>
      <c r="J54" s="50"/>
      <c r="K54" s="50"/>
      <c r="L54" s="50"/>
    </row>
    <row r="55" spans="1:12" x14ac:dyDescent="0.25">
      <c r="A55" s="50"/>
      <c r="B55" s="50"/>
      <c r="C55" s="50"/>
      <c r="E55" s="50"/>
      <c r="F55" s="50"/>
      <c r="G55" s="50"/>
      <c r="H55" s="50"/>
      <c r="I55" s="50"/>
      <c r="J55" s="50"/>
      <c r="K55" s="50"/>
      <c r="L55" s="50"/>
    </row>
    <row r="56" spans="1:12" x14ac:dyDescent="0.25">
      <c r="A56" s="96"/>
      <c r="B56" s="50"/>
      <c r="C56" s="50"/>
      <c r="E56" s="50"/>
      <c r="F56" s="50"/>
      <c r="G56" s="50"/>
      <c r="H56" s="50"/>
      <c r="I56" s="50"/>
      <c r="J56" s="50"/>
      <c r="K56" s="50"/>
      <c r="L56" s="50"/>
    </row>
    <row r="57" spans="1:12" x14ac:dyDescent="0.25">
      <c r="A57" s="50"/>
      <c r="B57" s="50"/>
      <c r="C57" s="50"/>
      <c r="E57" s="50"/>
    </row>
    <row r="58" spans="1:12" x14ac:dyDescent="0.25">
      <c r="A58" s="50"/>
      <c r="B58" s="50"/>
      <c r="C58" s="50"/>
      <c r="E58" s="50"/>
    </row>
    <row r="59" spans="1:12" x14ac:dyDescent="0.25">
      <c r="A59" s="50"/>
      <c r="B59" s="50"/>
      <c r="C59" s="50"/>
      <c r="E59" s="50"/>
    </row>
    <row r="60" spans="1:12" x14ac:dyDescent="0.25">
      <c r="A60" s="50"/>
      <c r="B60" s="50"/>
      <c r="C60" s="50"/>
      <c r="E60" s="50"/>
    </row>
    <row r="61" spans="1:12" x14ac:dyDescent="0.25">
      <c r="A61" s="50"/>
      <c r="B61" s="50"/>
      <c r="C61" s="50"/>
      <c r="E61" s="50"/>
    </row>
    <row r="62" spans="1:12" x14ac:dyDescent="0.25">
      <c r="A62" s="50"/>
      <c r="B62" s="50"/>
      <c r="C62" s="50"/>
      <c r="E62" s="50"/>
    </row>
    <row r="63" spans="1:12" x14ac:dyDescent="0.25">
      <c r="A63" s="50"/>
      <c r="B63" s="50"/>
      <c r="C63" s="50"/>
      <c r="E63" s="50"/>
    </row>
    <row r="64" spans="1:12" x14ac:dyDescent="0.25">
      <c r="A64" s="50"/>
      <c r="B64" s="50"/>
      <c r="C64" s="50"/>
      <c r="E64" s="50"/>
    </row>
    <row r="65" spans="1:5" x14ac:dyDescent="0.25">
      <c r="A65" s="50"/>
      <c r="B65" s="50"/>
      <c r="C65" s="50"/>
      <c r="E65" s="50"/>
    </row>
  </sheetData>
  <mergeCells count="1">
    <mergeCell ref="A4:C4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"/>
  <sheetViews>
    <sheetView topLeftCell="A10" zoomScaleNormal="100" workbookViewId="0">
      <selection activeCell="C19" sqref="C19"/>
    </sheetView>
  </sheetViews>
  <sheetFormatPr defaultColWidth="9.109375" defaultRowHeight="13.2" x14ac:dyDescent="0.25"/>
  <cols>
    <col min="1" max="1" width="8.5546875" style="1" customWidth="1"/>
    <col min="2" max="2" width="67.109375" style="1" customWidth="1"/>
    <col min="3" max="3" width="13.6640625" style="1" customWidth="1"/>
    <col min="4" max="4" width="10.33203125" style="1" hidden="1" customWidth="1"/>
    <col min="5" max="5" width="13.6640625" style="1" hidden="1" customWidth="1"/>
    <col min="6" max="6" width="14.44140625" style="1" hidden="1" customWidth="1"/>
    <col min="7" max="7" width="12.6640625" style="1" hidden="1" customWidth="1"/>
    <col min="8" max="8" width="4.44140625" style="1" hidden="1" customWidth="1"/>
    <col min="9" max="9" width="6.88671875" style="1" hidden="1" customWidth="1"/>
    <col min="10" max="10" width="3.33203125" style="1" hidden="1" customWidth="1"/>
    <col min="11" max="11" width="0" style="1" hidden="1" customWidth="1"/>
    <col min="12" max="16384" width="9.109375" style="1"/>
  </cols>
  <sheetData>
    <row r="1" spans="1:3" x14ac:dyDescent="0.25">
      <c r="A1" s="34" t="s">
        <v>257</v>
      </c>
    </row>
    <row r="3" spans="1:3" x14ac:dyDescent="0.25">
      <c r="A3" s="1" t="s">
        <v>219</v>
      </c>
    </row>
    <row r="4" spans="1:3" x14ac:dyDescent="0.25">
      <c r="A4" s="154" t="s">
        <v>215</v>
      </c>
    </row>
    <row r="5" spans="1:3" ht="25.5" customHeight="1" x14ac:dyDescent="0.25">
      <c r="A5" s="329" t="s">
        <v>272</v>
      </c>
      <c r="B5" s="328"/>
      <c r="C5" s="328"/>
    </row>
    <row r="6" spans="1:3" x14ac:dyDescent="0.25">
      <c r="A6" s="1" t="s">
        <v>216</v>
      </c>
    </row>
    <row r="7" spans="1:3" ht="26.25" customHeight="1" x14ac:dyDescent="0.25">
      <c r="A7" s="328" t="s">
        <v>217</v>
      </c>
      <c r="B7" s="328"/>
      <c r="C7" s="328"/>
    </row>
    <row r="8" spans="1:3" x14ac:dyDescent="0.25">
      <c r="A8" s="1" t="s">
        <v>218</v>
      </c>
    </row>
    <row r="9" spans="1:3" x14ac:dyDescent="0.25">
      <c r="A9" s="1" t="s">
        <v>258</v>
      </c>
    </row>
    <row r="10" spans="1:3" ht="13.8" thickBot="1" x14ac:dyDescent="0.3"/>
    <row r="11" spans="1:3" ht="17.399999999999999" x14ac:dyDescent="0.3">
      <c r="B11" s="326" t="s">
        <v>244</v>
      </c>
      <c r="C11" s="327"/>
    </row>
    <row r="12" spans="1:3" ht="13.8" x14ac:dyDescent="0.25">
      <c r="A12" s="50"/>
      <c r="B12" s="49" t="s">
        <v>214</v>
      </c>
      <c r="C12" s="97"/>
    </row>
    <row r="13" spans="1:3" ht="13.8" x14ac:dyDescent="0.25">
      <c r="A13" s="50"/>
      <c r="B13" s="51" t="s">
        <v>130</v>
      </c>
      <c r="C13" s="52">
        <v>2602</v>
      </c>
    </row>
    <row r="14" spans="1:3" ht="13.8" x14ac:dyDescent="0.25">
      <c r="A14" s="50"/>
      <c r="B14" s="53" t="s">
        <v>131</v>
      </c>
      <c r="C14" s="52">
        <v>3844</v>
      </c>
    </row>
    <row r="15" spans="1:3" ht="13.8" x14ac:dyDescent="0.25">
      <c r="A15" s="50"/>
      <c r="B15" s="98" t="s">
        <v>132</v>
      </c>
      <c r="C15" s="99">
        <v>165</v>
      </c>
    </row>
    <row r="16" spans="1:3" ht="13.8" x14ac:dyDescent="0.25">
      <c r="A16" s="50"/>
      <c r="B16" s="98" t="s">
        <v>133</v>
      </c>
      <c r="C16" s="99">
        <v>2821</v>
      </c>
    </row>
    <row r="17" spans="1:7" ht="13.8" x14ac:dyDescent="0.25">
      <c r="A17" s="50"/>
      <c r="B17" s="98" t="s">
        <v>134</v>
      </c>
      <c r="C17" s="99">
        <v>338</v>
      </c>
    </row>
    <row r="18" spans="1:7" ht="13.8" x14ac:dyDescent="0.25">
      <c r="A18" s="50"/>
      <c r="B18" s="98" t="s">
        <v>135</v>
      </c>
      <c r="C18" s="99">
        <v>22</v>
      </c>
    </row>
    <row r="19" spans="1:7" ht="13.8" x14ac:dyDescent="0.25">
      <c r="A19" s="50"/>
      <c r="B19" s="98" t="s">
        <v>136</v>
      </c>
      <c r="C19" s="99">
        <v>470</v>
      </c>
    </row>
    <row r="20" spans="1:7" ht="13.8" x14ac:dyDescent="0.25">
      <c r="A20" s="50"/>
      <c r="B20" s="98" t="s">
        <v>137</v>
      </c>
      <c r="C20" s="99">
        <v>1</v>
      </c>
    </row>
    <row r="21" spans="1:7" ht="13.8" x14ac:dyDescent="0.25">
      <c r="A21" s="50"/>
      <c r="B21" s="98" t="s">
        <v>138</v>
      </c>
      <c r="C21" s="99">
        <v>26</v>
      </c>
    </row>
    <row r="22" spans="1:7" ht="13.8" x14ac:dyDescent="0.25">
      <c r="A22" s="50"/>
      <c r="B22" s="100" t="s">
        <v>139</v>
      </c>
      <c r="C22" s="101">
        <v>0</v>
      </c>
    </row>
    <row r="23" spans="1:7" ht="13.8" x14ac:dyDescent="0.25">
      <c r="A23" s="50" t="s">
        <v>140</v>
      </c>
      <c r="B23" s="49" t="s">
        <v>141</v>
      </c>
      <c r="C23" s="97"/>
    </row>
    <row r="24" spans="1:7" ht="13.8" x14ac:dyDescent="0.25">
      <c r="A24" s="50"/>
      <c r="B24" s="102" t="s">
        <v>319</v>
      </c>
      <c r="C24" s="103">
        <v>6389</v>
      </c>
    </row>
    <row r="25" spans="1:7" ht="13.8" x14ac:dyDescent="0.25">
      <c r="A25" s="50"/>
      <c r="B25" s="98" t="s">
        <v>320</v>
      </c>
      <c r="C25" s="99">
        <v>5147</v>
      </c>
    </row>
    <row r="26" spans="1:7" ht="13.8" x14ac:dyDescent="0.25">
      <c r="B26" s="98" t="s">
        <v>321</v>
      </c>
      <c r="C26" s="99">
        <v>-1242</v>
      </c>
    </row>
    <row r="27" spans="1:7" ht="13.8" x14ac:dyDescent="0.25">
      <c r="B27" s="104"/>
      <c r="C27" s="105"/>
    </row>
    <row r="28" spans="1:7" ht="13.8" x14ac:dyDescent="0.25">
      <c r="B28" s="54" t="s">
        <v>142</v>
      </c>
      <c r="C28" s="155">
        <f>MEDIAN(C13,C14)/MEDIAN(C24,C25)</f>
        <v>0.55877253814147021</v>
      </c>
      <c r="G28" s="1">
        <f>12/C28</f>
        <v>21.4756438101148</v>
      </c>
    </row>
    <row r="29" spans="1:7" ht="13.8" x14ac:dyDescent="0.25">
      <c r="B29" s="51" t="s">
        <v>143</v>
      </c>
      <c r="C29" s="155">
        <f>C16/MEDIAN(C24,C25)</f>
        <v>0.48907766990291263</v>
      </c>
    </row>
    <row r="30" spans="1:7" ht="13.8" x14ac:dyDescent="0.25">
      <c r="B30" s="56" t="s">
        <v>144</v>
      </c>
      <c r="C30" s="55">
        <v>360</v>
      </c>
    </row>
    <row r="31" spans="1:7" ht="13.8" x14ac:dyDescent="0.25">
      <c r="B31" s="51" t="s">
        <v>259</v>
      </c>
      <c r="C31" s="55">
        <v>10</v>
      </c>
    </row>
    <row r="32" spans="1:7" ht="13.8" x14ac:dyDescent="0.25">
      <c r="B32" s="51" t="s">
        <v>260</v>
      </c>
      <c r="C32" s="55">
        <v>30</v>
      </c>
      <c r="G32" s="1">
        <f>TRUNC(G37)</f>
        <v>9</v>
      </c>
    </row>
    <row r="33" spans="2:11" ht="13.8" x14ac:dyDescent="0.25">
      <c r="B33" s="51" t="s">
        <v>261</v>
      </c>
      <c r="C33" s="55">
        <v>30</v>
      </c>
    </row>
    <row r="34" spans="2:11" s="34" customFormat="1" ht="13.8" x14ac:dyDescent="0.25">
      <c r="B34" s="51" t="s">
        <v>145</v>
      </c>
      <c r="C34" s="106">
        <f>MEDIAN(C24,C25)</f>
        <v>5768</v>
      </c>
    </row>
    <row r="35" spans="2:11" s="34" customFormat="1" ht="13.8" x14ac:dyDescent="0.25">
      <c r="B35" s="51" t="s">
        <v>44</v>
      </c>
      <c r="C35" s="107">
        <v>0.08</v>
      </c>
      <c r="K35" s="34">
        <f>IF(C39&gt;12,C39-12,C39)</f>
        <v>9.4756438101147999</v>
      </c>
    </row>
    <row r="36" spans="2:11" s="34" customFormat="1" ht="13.8" x14ac:dyDescent="0.25">
      <c r="B36" s="51" t="s">
        <v>146</v>
      </c>
      <c r="C36" s="107">
        <v>0.5</v>
      </c>
      <c r="K36" s="34" t="e">
        <f>IF(#REF!&gt;12,#REF!-12,#REF!)</f>
        <v>#REF!</v>
      </c>
    </row>
    <row r="37" spans="2:11" s="34" customFormat="1" ht="13.8" x14ac:dyDescent="0.25">
      <c r="B37" s="51" t="s">
        <v>147</v>
      </c>
      <c r="C37" s="156">
        <f>((1/C28)-TRUNC(E37))</f>
        <v>0.78963698417623318</v>
      </c>
      <c r="D37" s="34">
        <f>TRUNC(E37)</f>
        <v>1</v>
      </c>
      <c r="E37" s="34">
        <f>1/C28</f>
        <v>1.7896369841762332</v>
      </c>
      <c r="F37" s="34">
        <f>((1/C28)-TRUNC(E37))</f>
        <v>0.78963698417623318</v>
      </c>
      <c r="G37" s="34">
        <f>12*F37</f>
        <v>9.4756438101147982</v>
      </c>
      <c r="K37" s="34" t="e">
        <f>IF(#REF!&gt;12,#REF!-12,#REF!)</f>
        <v>#REF!</v>
      </c>
    </row>
    <row r="38" spans="2:11" s="34" customFormat="1" ht="13.8" x14ac:dyDescent="0.25">
      <c r="B38" s="49" t="s">
        <v>148</v>
      </c>
      <c r="C38" s="57">
        <f>30+D38</f>
        <v>33</v>
      </c>
      <c r="D38" s="34">
        <f>3*D37</f>
        <v>3</v>
      </c>
      <c r="G38" s="34">
        <f>G37/12*40/360</f>
        <v>8.7737442686248127E-2</v>
      </c>
      <c r="K38" s="34" t="e">
        <f>IF(#REF!&gt;12,#REF!-12,#REF!)</f>
        <v>#REF!</v>
      </c>
    </row>
    <row r="39" spans="2:11" s="34" customFormat="1" ht="14.4" thickBot="1" x14ac:dyDescent="0.3">
      <c r="B39" s="58" t="s">
        <v>264</v>
      </c>
      <c r="C39" s="157">
        <f>12/C28</f>
        <v>21.4756438101148</v>
      </c>
      <c r="K39" s="34" t="e">
        <f>IF(#REF!&gt;12,#REF!-12,#REF!)</f>
        <v>#REF!</v>
      </c>
    </row>
    <row r="40" spans="2:11" x14ac:dyDescent="0.25">
      <c r="K40" s="1" t="e">
        <f t="shared" ref="K40:K41" si="0">IF(K39&gt;12,K39-12,K39)</f>
        <v>#REF!</v>
      </c>
    </row>
    <row r="41" spans="2:11" x14ac:dyDescent="0.25">
      <c r="K41" s="1" t="e">
        <f t="shared" si="0"/>
        <v>#REF!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C12" sqref="C12"/>
    </sheetView>
  </sheetViews>
  <sheetFormatPr defaultRowHeight="13.2" x14ac:dyDescent="0.25"/>
  <cols>
    <col min="1" max="1" width="41.88671875" bestFit="1" customWidth="1"/>
    <col min="2" max="2" width="5.5546875" bestFit="1" customWidth="1"/>
    <col min="4" max="4" width="9.6640625" bestFit="1" customWidth="1"/>
    <col min="5" max="5" width="8" style="38" bestFit="1" customWidth="1"/>
    <col min="6" max="6" width="9.6640625" bestFit="1" customWidth="1"/>
  </cols>
  <sheetData>
    <row r="1" spans="1:8" s="45" customFormat="1" ht="13.8" x14ac:dyDescent="0.25">
      <c r="A1" s="9" t="s">
        <v>211</v>
      </c>
      <c r="B1" s="43"/>
      <c r="C1" s="43"/>
      <c r="E1" s="46"/>
    </row>
    <row r="2" spans="1:8" s="45" customFormat="1" ht="13.8" x14ac:dyDescent="0.25">
      <c r="A2" s="42" t="s">
        <v>265</v>
      </c>
      <c r="B2" s="43"/>
      <c r="C2" s="43"/>
      <c r="E2" s="46"/>
    </row>
    <row r="3" spans="1:8" s="45" customFormat="1" ht="13.8" x14ac:dyDescent="0.25">
      <c r="A3" s="7" t="s">
        <v>212</v>
      </c>
      <c r="B3" s="43"/>
      <c r="C3" s="43"/>
      <c r="E3" s="46"/>
    </row>
    <row r="4" spans="1:8" s="45" customFormat="1" ht="13.8" x14ac:dyDescent="0.25">
      <c r="A4" s="42"/>
      <c r="B4" s="43"/>
      <c r="C4" s="43"/>
      <c r="E4" s="46"/>
    </row>
    <row r="5" spans="1:8" s="45" customFormat="1" ht="14.4" thickBot="1" x14ac:dyDescent="0.3">
      <c r="B5" s="43"/>
      <c r="C5" s="43"/>
      <c r="E5" s="46"/>
    </row>
    <row r="6" spans="1:8" ht="15.6" x14ac:dyDescent="0.25">
      <c r="A6" s="335" t="s">
        <v>245</v>
      </c>
      <c r="B6" s="336"/>
      <c r="C6" s="336"/>
      <c r="D6" s="336"/>
      <c r="E6" s="336"/>
      <c r="F6" s="337"/>
    </row>
    <row r="7" spans="1:8" ht="16.2" thickBot="1" x14ac:dyDescent="0.3">
      <c r="A7" s="148"/>
      <c r="B7" s="149"/>
      <c r="C7" s="149"/>
      <c r="D7" s="149"/>
      <c r="E7" s="149"/>
      <c r="F7" s="150"/>
    </row>
    <row r="8" spans="1:8" ht="13.8" x14ac:dyDescent="0.25">
      <c r="A8" s="108"/>
      <c r="B8" s="44"/>
      <c r="C8" s="44"/>
      <c r="D8" s="332" t="s">
        <v>262</v>
      </c>
      <c r="E8" s="333"/>
      <c r="F8" s="334"/>
      <c r="G8" s="45"/>
      <c r="H8" s="45"/>
    </row>
    <row r="9" spans="1:8" ht="14.4" thickBot="1" x14ac:dyDescent="0.3">
      <c r="A9" s="104"/>
      <c r="B9" s="109"/>
      <c r="C9" s="109"/>
      <c r="D9" s="110" t="s">
        <v>199</v>
      </c>
      <c r="E9" s="111" t="s">
        <v>200</v>
      </c>
      <c r="F9" s="112" t="s">
        <v>201</v>
      </c>
      <c r="G9" s="45"/>
      <c r="H9" s="45"/>
    </row>
    <row r="10" spans="1:8" ht="13.8" x14ac:dyDescent="0.25">
      <c r="A10" s="113" t="s">
        <v>80</v>
      </c>
      <c r="B10" s="114" t="s">
        <v>81</v>
      </c>
      <c r="C10" s="115">
        <v>5.0799999999999998E-2</v>
      </c>
      <c r="D10" s="136">
        <v>2.9700000000000001E-2</v>
      </c>
      <c r="E10" s="137">
        <v>5.0799999999999998E-2</v>
      </c>
      <c r="F10" s="138">
        <v>6.2700000000000006E-2</v>
      </c>
      <c r="G10" s="45"/>
      <c r="H10" s="45"/>
    </row>
    <row r="11" spans="1:8" ht="13.8" x14ac:dyDescent="0.25">
      <c r="A11" s="117" t="s">
        <v>82</v>
      </c>
      <c r="B11" s="118" t="s">
        <v>83</v>
      </c>
      <c r="C11" s="119">
        <v>1.3299999999999999E-2</v>
      </c>
      <c r="D11" s="136">
        <f>0.3%+0.56%</f>
        <v>8.6E-3</v>
      </c>
      <c r="E11" s="137">
        <f>0.48%+0.85%</f>
        <v>1.3299999999999999E-2</v>
      </c>
      <c r="F11" s="138">
        <f>0.82%+0.89%</f>
        <v>1.7099999999999997E-2</v>
      </c>
      <c r="G11" s="45"/>
      <c r="H11" s="45"/>
    </row>
    <row r="12" spans="1:8" ht="13.8" x14ac:dyDescent="0.25">
      <c r="A12" s="117" t="s">
        <v>84</v>
      </c>
      <c r="B12" s="118" t="s">
        <v>85</v>
      </c>
      <c r="C12" s="119">
        <v>0.1085</v>
      </c>
      <c r="D12" s="136">
        <v>7.7799999999999994E-2</v>
      </c>
      <c r="E12" s="137">
        <v>0.1085</v>
      </c>
      <c r="F12" s="138">
        <v>0.13550000000000001</v>
      </c>
      <c r="G12" s="45"/>
      <c r="H12" s="45"/>
    </row>
    <row r="13" spans="1:8" ht="13.8" x14ac:dyDescent="0.25">
      <c r="A13" s="117" t="s">
        <v>86</v>
      </c>
      <c r="B13" s="118" t="s">
        <v>87</v>
      </c>
      <c r="C13" s="120">
        <f>(1+E13)^(E14/252)-1</f>
        <v>5.0105107694793372E-3</v>
      </c>
      <c r="D13" s="136" t="s">
        <v>301</v>
      </c>
      <c r="E13" s="121">
        <v>6.5000000000000002E-2</v>
      </c>
      <c r="F13" s="116"/>
      <c r="G13" s="45"/>
      <c r="H13" s="45"/>
    </row>
    <row r="14" spans="1:8" ht="13.8" x14ac:dyDescent="0.25">
      <c r="A14" s="117" t="s">
        <v>88</v>
      </c>
      <c r="B14" s="330" t="s">
        <v>89</v>
      </c>
      <c r="C14" s="119">
        <v>2.5000000000000001E-2</v>
      </c>
      <c r="D14" s="177" t="s">
        <v>202</v>
      </c>
      <c r="E14" s="122">
        <v>20</v>
      </c>
      <c r="F14" s="123"/>
      <c r="G14" s="45"/>
      <c r="H14" s="45"/>
    </row>
    <row r="15" spans="1:8" ht="14.4" thickBot="1" x14ac:dyDescent="0.3">
      <c r="A15" s="124" t="s">
        <v>90</v>
      </c>
      <c r="B15" s="331"/>
      <c r="C15" s="125">
        <v>9.4000000000000004E-3</v>
      </c>
      <c r="D15" s="98"/>
      <c r="E15" s="126"/>
      <c r="F15" s="123"/>
      <c r="G15" s="45"/>
      <c r="H15" s="45"/>
    </row>
    <row r="16" spans="1:8" ht="13.8" x14ac:dyDescent="0.25">
      <c r="A16" s="127" t="s">
        <v>91</v>
      </c>
      <c r="B16" s="128"/>
      <c r="C16" s="129"/>
      <c r="D16" s="98"/>
      <c r="E16" s="126"/>
      <c r="F16" s="123"/>
      <c r="G16" s="45"/>
      <c r="H16" s="45"/>
    </row>
    <row r="17" spans="1:8" ht="14.4" thickBot="1" x14ac:dyDescent="0.3">
      <c r="A17" s="130" t="s">
        <v>92</v>
      </c>
      <c r="B17" s="131"/>
      <c r="C17" s="132"/>
      <c r="D17" s="98"/>
      <c r="E17" s="126"/>
      <c r="F17" s="123"/>
      <c r="G17" s="45"/>
      <c r="H17" s="45"/>
    </row>
    <row r="18" spans="1:8" ht="14.4" thickBot="1" x14ac:dyDescent="0.3">
      <c r="A18" s="133" t="s">
        <v>93</v>
      </c>
      <c r="B18" s="134"/>
      <c r="C18" s="135">
        <f>ROUND((((1+C10+C11)*(1+C12)*(1+C13))/(1-(C14+C15))-1),4)</f>
        <v>0.22770000000000001</v>
      </c>
      <c r="D18" s="139">
        <v>0.21429999999999999</v>
      </c>
      <c r="E18" s="140">
        <v>0.2717</v>
      </c>
      <c r="F18" s="141">
        <v>0.3362</v>
      </c>
      <c r="G18" s="45"/>
      <c r="H18" s="45"/>
    </row>
    <row r="19" spans="1:8" ht="13.8" x14ac:dyDescent="0.25">
      <c r="A19" s="45"/>
      <c r="B19" s="45"/>
      <c r="C19" s="45"/>
      <c r="D19" s="45"/>
      <c r="E19" s="46"/>
      <c r="F19" s="45"/>
      <c r="G19" s="45"/>
      <c r="H19" s="45"/>
    </row>
    <row r="20" spans="1:8" ht="13.8" x14ac:dyDescent="0.25">
      <c r="A20" s="45"/>
      <c r="B20" s="45"/>
      <c r="C20" s="45"/>
      <c r="D20" s="45"/>
      <c r="E20" s="46"/>
      <c r="F20" s="45"/>
      <c r="G20" s="45"/>
      <c r="H20" s="45"/>
    </row>
    <row r="21" spans="1:8" ht="13.8" x14ac:dyDescent="0.25">
      <c r="A21" s="45"/>
      <c r="B21" s="45"/>
      <c r="C21" s="45"/>
      <c r="D21" s="45"/>
      <c r="E21" s="46"/>
      <c r="F21" s="45"/>
      <c r="G21" s="45"/>
      <c r="H21" s="45"/>
    </row>
    <row r="22" spans="1:8" ht="13.8" x14ac:dyDescent="0.25">
      <c r="A22" s="45"/>
      <c r="B22" s="45"/>
      <c r="C22" s="45"/>
      <c r="D22" s="45"/>
      <c r="E22" s="46"/>
      <c r="F22" s="45"/>
      <c r="G22" s="45"/>
      <c r="H22" s="45"/>
    </row>
  </sheetData>
  <mergeCells count="3">
    <mergeCell ref="B14:B15"/>
    <mergeCell ref="D8:F8"/>
    <mergeCell ref="A6:F6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3" sqref="B3"/>
    </sheetView>
  </sheetViews>
  <sheetFormatPr defaultColWidth="9.109375" defaultRowHeight="19.5" customHeight="1" x14ac:dyDescent="0.25"/>
  <cols>
    <col min="1" max="1" width="24.5546875" style="1" customWidth="1"/>
    <col min="2" max="2" width="20.88671875" style="1" customWidth="1"/>
    <col min="3" max="16384" width="9.109375" style="1"/>
  </cols>
  <sheetData>
    <row r="1" spans="1:2" ht="19.5" customHeight="1" thickBot="1" x14ac:dyDescent="0.3">
      <c r="A1" s="338" t="s">
        <v>247</v>
      </c>
      <c r="B1" s="339"/>
    </row>
    <row r="2" spans="1:2" s="34" customFormat="1" ht="19.5" customHeight="1" x14ac:dyDescent="0.25">
      <c r="A2" s="151" t="s">
        <v>220</v>
      </c>
      <c r="B2" s="152" t="s">
        <v>303</v>
      </c>
    </row>
    <row r="3" spans="1:2" ht="19.5" customHeight="1" x14ac:dyDescent="0.25">
      <c r="A3" s="60">
        <v>1</v>
      </c>
      <c r="B3" s="59">
        <v>33.629999999999995</v>
      </c>
    </row>
    <row r="4" spans="1:2" ht="19.5" customHeight="1" x14ac:dyDescent="0.25">
      <c r="A4" s="60">
        <v>2</v>
      </c>
      <c r="B4" s="59">
        <v>43.13</v>
      </c>
    </row>
    <row r="5" spans="1:2" ht="19.5" customHeight="1" x14ac:dyDescent="0.25">
      <c r="A5" s="60">
        <v>3</v>
      </c>
      <c r="B5" s="59">
        <v>48.68</v>
      </c>
    </row>
    <row r="6" spans="1:2" ht="19.5" customHeight="1" x14ac:dyDescent="0.25">
      <c r="A6" s="60">
        <v>4</v>
      </c>
      <c r="B6" s="59">
        <v>52.62</v>
      </c>
    </row>
    <row r="7" spans="1:2" ht="19.5" customHeight="1" x14ac:dyDescent="0.25">
      <c r="A7" s="60">
        <v>5</v>
      </c>
      <c r="B7" s="59">
        <v>55.679999999999993</v>
      </c>
    </row>
    <row r="8" spans="1:2" ht="19.5" customHeight="1" x14ac:dyDescent="0.25">
      <c r="A8" s="60">
        <v>6</v>
      </c>
      <c r="B8" s="59">
        <v>58.18</v>
      </c>
    </row>
    <row r="9" spans="1:2" ht="19.5" customHeight="1" x14ac:dyDescent="0.25">
      <c r="A9" s="60">
        <v>7</v>
      </c>
      <c r="B9" s="59">
        <v>60.29</v>
      </c>
    </row>
    <row r="10" spans="1:2" ht="19.5" customHeight="1" x14ac:dyDescent="0.25">
      <c r="A10" s="60">
        <v>8</v>
      </c>
      <c r="B10" s="59">
        <v>62.12</v>
      </c>
    </row>
    <row r="11" spans="1:2" ht="19.5" customHeight="1" x14ac:dyDescent="0.25">
      <c r="A11" s="60">
        <v>9</v>
      </c>
      <c r="B11" s="59">
        <v>63.73</v>
      </c>
    </row>
    <row r="12" spans="1:2" ht="19.5" customHeight="1" x14ac:dyDescent="0.25">
      <c r="A12" s="60">
        <v>10</v>
      </c>
      <c r="B12" s="59">
        <v>65.180000000000007</v>
      </c>
    </row>
    <row r="13" spans="1:2" ht="19.5" customHeight="1" x14ac:dyDescent="0.25">
      <c r="A13" s="60">
        <v>11</v>
      </c>
      <c r="B13" s="59">
        <v>66.47999999999999</v>
      </c>
    </row>
    <row r="14" spans="1:2" ht="19.5" customHeight="1" x14ac:dyDescent="0.25">
      <c r="A14" s="60">
        <v>12</v>
      </c>
      <c r="B14" s="59">
        <v>67.67</v>
      </c>
    </row>
    <row r="15" spans="1:2" ht="19.5" customHeight="1" x14ac:dyDescent="0.25">
      <c r="A15" s="60">
        <v>13</v>
      </c>
      <c r="B15" s="59">
        <v>68.77</v>
      </c>
    </row>
    <row r="16" spans="1:2" ht="19.5" customHeight="1" x14ac:dyDescent="0.25">
      <c r="A16" s="60">
        <v>14</v>
      </c>
      <c r="B16" s="59">
        <v>69.789999999999992</v>
      </c>
    </row>
    <row r="17" spans="1:2" ht="19.5" customHeight="1" thickBot="1" x14ac:dyDescent="0.3">
      <c r="A17" s="61">
        <v>15</v>
      </c>
      <c r="B17" s="62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4" sqref="A24"/>
    </sheetView>
  </sheetViews>
  <sheetFormatPr defaultColWidth="9.109375" defaultRowHeight="13.2" x14ac:dyDescent="0.25"/>
  <cols>
    <col min="1" max="1" width="70.44140625" style="1" customWidth="1"/>
    <col min="2" max="3" width="9.109375" style="1"/>
    <col min="4" max="4" width="12.88671875" style="1" bestFit="1" customWidth="1"/>
    <col min="5" max="16384" width="9.109375" style="1"/>
  </cols>
  <sheetData>
    <row r="1" spans="1:1" ht="17.399999999999999" x14ac:dyDescent="0.3">
      <c r="A1" s="145" t="s">
        <v>251</v>
      </c>
    </row>
    <row r="2" spans="1:1" x14ac:dyDescent="0.25">
      <c r="A2" s="142"/>
    </row>
    <row r="3" spans="1:1" x14ac:dyDescent="0.25">
      <c r="A3" s="142" t="s">
        <v>266</v>
      </c>
    </row>
    <row r="4" spans="1:1" x14ac:dyDescent="0.25">
      <c r="A4" s="142"/>
    </row>
    <row r="5" spans="1:1" x14ac:dyDescent="0.25">
      <c r="A5" s="142"/>
    </row>
    <row r="6" spans="1:1" x14ac:dyDescent="0.25">
      <c r="A6" s="142"/>
    </row>
    <row r="7" spans="1:1" x14ac:dyDescent="0.25">
      <c r="A7" s="142"/>
    </row>
    <row r="8" spans="1:1" x14ac:dyDescent="0.25">
      <c r="A8" s="142"/>
    </row>
    <row r="9" spans="1:1" x14ac:dyDescent="0.25">
      <c r="A9" s="142"/>
    </row>
    <row r="10" spans="1:1" x14ac:dyDescent="0.25">
      <c r="A10" s="142"/>
    </row>
    <row r="11" spans="1:1" x14ac:dyDescent="0.25">
      <c r="A11" s="142"/>
    </row>
    <row r="12" spans="1:1" ht="18.600000000000001" x14ac:dyDescent="0.4">
      <c r="A12" s="143" t="s">
        <v>248</v>
      </c>
    </row>
    <row r="13" spans="1:1" ht="15" x14ac:dyDescent="0.25">
      <c r="A13" s="143" t="s">
        <v>115</v>
      </c>
    </row>
    <row r="14" spans="1:1" ht="15" x14ac:dyDescent="0.25">
      <c r="A14" s="143" t="s">
        <v>120</v>
      </c>
    </row>
    <row r="15" spans="1:1" ht="18.600000000000001" x14ac:dyDescent="0.4">
      <c r="A15" s="143" t="s">
        <v>249</v>
      </c>
    </row>
    <row r="16" spans="1:1" ht="18.600000000000001" x14ac:dyDescent="0.4">
      <c r="A16" s="143" t="s">
        <v>250</v>
      </c>
    </row>
    <row r="17" spans="1:1" ht="15.6" thickBot="1" x14ac:dyDescent="0.3">
      <c r="A17" s="144" t="s">
        <v>116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1"/>
  <sheetViews>
    <sheetView topLeftCell="A7" zoomScale="170" zoomScaleNormal="170" workbookViewId="0">
      <selection activeCell="C18" sqref="C18"/>
    </sheetView>
  </sheetViews>
  <sheetFormatPr defaultColWidth="9.109375" defaultRowHeight="13.2" x14ac:dyDescent="0.25"/>
  <cols>
    <col min="1" max="1" width="58.33203125" style="154" customWidth="1"/>
    <col min="2" max="2" width="11.109375" style="154" bestFit="1" customWidth="1"/>
    <col min="3" max="3" width="11.33203125" style="154" bestFit="1" customWidth="1"/>
    <col min="4" max="16384" width="9.109375" style="154"/>
  </cols>
  <sheetData>
    <row r="1" spans="1:3" x14ac:dyDescent="0.25">
      <c r="A1" s="9" t="s">
        <v>211</v>
      </c>
    </row>
    <row r="2" spans="1:3" x14ac:dyDescent="0.25">
      <c r="A2" s="159" t="s">
        <v>278</v>
      </c>
    </row>
    <row r="3" spans="1:3" x14ac:dyDescent="0.25">
      <c r="A3" s="159" t="s">
        <v>304</v>
      </c>
    </row>
    <row r="4" spans="1:3" x14ac:dyDescent="0.25">
      <c r="A4" s="5" t="s">
        <v>302</v>
      </c>
    </row>
    <row r="5" spans="1:3" ht="13.8" thickBot="1" x14ac:dyDescent="0.3"/>
    <row r="6" spans="1:3" ht="17.399999999999999" x14ac:dyDescent="0.3">
      <c r="A6" s="340" t="s">
        <v>298</v>
      </c>
      <c r="B6" s="341"/>
      <c r="C6" s="342"/>
    </row>
    <row r="7" spans="1:3" s="160" customFormat="1" ht="17.399999999999999" x14ac:dyDescent="0.3">
      <c r="A7" s="175"/>
      <c r="B7" s="174"/>
      <c r="C7" s="176"/>
    </row>
    <row r="8" spans="1:3" s="34" customFormat="1" ht="13.8" x14ac:dyDescent="0.25">
      <c r="A8" s="161" t="s">
        <v>299</v>
      </c>
      <c r="B8" s="162" t="s">
        <v>279</v>
      </c>
      <c r="C8" s="163" t="s">
        <v>151</v>
      </c>
    </row>
    <row r="9" spans="1:3" ht="13.8" x14ac:dyDescent="0.25">
      <c r="A9" s="164" t="s">
        <v>287</v>
      </c>
      <c r="B9" s="165" t="s">
        <v>280</v>
      </c>
      <c r="C9" s="99">
        <v>45000</v>
      </c>
    </row>
    <row r="10" spans="1:3" ht="13.8" x14ac:dyDescent="0.25">
      <c r="A10" s="98" t="s">
        <v>288</v>
      </c>
      <c r="B10" s="166" t="s">
        <v>285</v>
      </c>
      <c r="C10" s="167">
        <f>0.0362741*C9^0.2336249</f>
        <v>0.44330533116625254</v>
      </c>
    </row>
    <row r="11" spans="1:3" ht="13.8" x14ac:dyDescent="0.25">
      <c r="A11" s="98" t="s">
        <v>289</v>
      </c>
      <c r="B11" s="166" t="s">
        <v>286</v>
      </c>
      <c r="C11" s="168">
        <f>C9*C10/1000</f>
        <v>19.948739902481364</v>
      </c>
    </row>
    <row r="12" spans="1:3" ht="13.8" x14ac:dyDescent="0.25">
      <c r="A12" s="98" t="s">
        <v>295</v>
      </c>
      <c r="B12" s="166" t="s">
        <v>281</v>
      </c>
      <c r="C12" s="169">
        <f>(C11*30)</f>
        <v>598.46219707444095</v>
      </c>
    </row>
    <row r="13" spans="1:3" ht="13.8" x14ac:dyDescent="0.25">
      <c r="A13" s="98" t="s">
        <v>291</v>
      </c>
      <c r="B13" s="166" t="s">
        <v>96</v>
      </c>
      <c r="C13" s="172">
        <v>2</v>
      </c>
    </row>
    <row r="14" spans="1:3" ht="13.8" x14ac:dyDescent="0.25">
      <c r="A14" s="98" t="s">
        <v>290</v>
      </c>
      <c r="B14" s="166" t="s">
        <v>286</v>
      </c>
      <c r="C14" s="168">
        <f>IFERROR(C11*7/C13,0)</f>
        <v>69.820589658684781</v>
      </c>
    </row>
    <row r="15" spans="1:3" ht="13.8" x14ac:dyDescent="0.25">
      <c r="A15" s="164" t="s">
        <v>282</v>
      </c>
      <c r="B15" s="166" t="s">
        <v>283</v>
      </c>
      <c r="C15" s="123">
        <v>500</v>
      </c>
    </row>
    <row r="16" spans="1:3" ht="13.8" x14ac:dyDescent="0.25">
      <c r="A16" s="98" t="s">
        <v>296</v>
      </c>
      <c r="B16" s="166"/>
      <c r="C16" s="99">
        <v>1</v>
      </c>
    </row>
    <row r="17" spans="1:3" ht="13.8" x14ac:dyDescent="0.25">
      <c r="A17" s="164" t="s">
        <v>297</v>
      </c>
      <c r="B17" s="166" t="s">
        <v>284</v>
      </c>
      <c r="C17" s="99">
        <v>0</v>
      </c>
    </row>
    <row r="18" spans="1:3" ht="13.8" x14ac:dyDescent="0.25">
      <c r="A18" s="98" t="s">
        <v>292</v>
      </c>
      <c r="B18" s="166" t="s">
        <v>281</v>
      </c>
      <c r="C18" s="123">
        <f>IF(AND(C17&gt;=15,C16=1),5.8,C17/2)</f>
        <v>0</v>
      </c>
    </row>
    <row r="19" spans="1:3" ht="13.8" x14ac:dyDescent="0.25">
      <c r="A19" s="164" t="s">
        <v>293</v>
      </c>
      <c r="B19" s="166"/>
      <c r="C19" s="168">
        <f>IFERROR(C14/C18,0)</f>
        <v>0</v>
      </c>
    </row>
    <row r="20" spans="1:3" ht="13.8" x14ac:dyDescent="0.25">
      <c r="A20" s="164" t="s">
        <v>300</v>
      </c>
      <c r="B20" s="166"/>
      <c r="C20" s="179">
        <v>1</v>
      </c>
    </row>
    <row r="21" spans="1:3" ht="14.4" thickBot="1" x14ac:dyDescent="0.3">
      <c r="A21" s="170" t="s">
        <v>294</v>
      </c>
      <c r="B21" s="171"/>
      <c r="C21" s="173">
        <f>IFERROR(C19/C20,0)</f>
        <v>0</v>
      </c>
    </row>
  </sheetData>
  <mergeCells count="1">
    <mergeCell ref="A6:C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Transporte e transbordo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'2.Encargos Sociais'!Area_de_impressao</vt:lpstr>
      <vt:lpstr>'Transporte e transbordo'!Area_de_impressao</vt:lpstr>
      <vt:lpstr>'Transporte e transbordo'!Titulos_de_impressao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Usuário do Windows</cp:lastModifiedBy>
  <cp:lastPrinted>2020-01-14T17:44:30Z</cp:lastPrinted>
  <dcterms:created xsi:type="dcterms:W3CDTF">2000-12-13T10:02:50Z</dcterms:created>
  <dcterms:modified xsi:type="dcterms:W3CDTF">2020-07-02T15:07:08Z</dcterms:modified>
</cp:coreProperties>
</file>