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\dados\Licitacoes\2020\PROCESSO 1461-2020 - CONCORRÊNCIA 2-2020 - COLETA E TRANSPORTE DE LIXO\ANEXOS\"/>
    </mc:Choice>
  </mc:AlternateContent>
  <bookViews>
    <workbookView xWindow="0" yWindow="0" windowWidth="24000" windowHeight="97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Domiciliar'!$A$1:$F$292</definedName>
    <definedName name="_xlnm.Print_Area" localSheetId="1">'2.Encargos Sociais'!$A$1:$C$39</definedName>
    <definedName name="_xlnm.Print_Titles" localSheetId="0">'1. Coleta Domiciliar'!#REF!</definedName>
  </definedNames>
  <calcPr calcId="152511"/>
</workbook>
</file>

<file path=xl/calcChain.xml><?xml version="1.0" encoding="utf-8"?>
<calcChain xmlns="http://schemas.openxmlformats.org/spreadsheetml/2006/main">
  <c r="D61" i="2" l="1"/>
  <c r="E61" i="2" s="1"/>
  <c r="C63" i="2"/>
  <c r="C66" i="2"/>
  <c r="C69" i="2"/>
  <c r="C71" i="2"/>
  <c r="C73" i="2"/>
  <c r="E76" i="2"/>
  <c r="D95" i="2"/>
  <c r="E95" i="2" s="1"/>
  <c r="D96" i="2"/>
  <c r="C98" i="2"/>
  <c r="D99" i="2"/>
  <c r="E99" i="2" s="1"/>
  <c r="C101" i="2"/>
  <c r="C104" i="2"/>
  <c r="C107" i="2"/>
  <c r="D107" i="2"/>
  <c r="C109" i="2"/>
  <c r="E112" i="2"/>
  <c r="C118" i="2"/>
  <c r="C119" i="2"/>
  <c r="D102" i="2" l="1"/>
  <c r="E102" i="2" s="1"/>
  <c r="D98" i="2"/>
  <c r="E98" i="2" s="1"/>
  <c r="D101" i="2"/>
  <c r="E101" i="2" s="1"/>
  <c r="D105" i="2" s="1"/>
  <c r="E105" i="2" s="1"/>
  <c r="D104" i="2"/>
  <c r="E104" i="2" s="1"/>
  <c r="D66" i="2"/>
  <c r="E66" i="2" s="1"/>
  <c r="D63" i="2"/>
  <c r="E63" i="2" s="1"/>
  <c r="E107" i="2"/>
  <c r="D67" i="2"/>
  <c r="E67" i="2" s="1"/>
  <c r="D69" i="2"/>
  <c r="E69" i="2" s="1"/>
  <c r="D64" i="2"/>
  <c r="E64" i="2" s="1"/>
  <c r="C21" i="9"/>
  <c r="E108" i="2" l="1"/>
  <c r="D109" i="2" s="1"/>
  <c r="E109" i="2" s="1"/>
  <c r="E110" i="2" s="1"/>
  <c r="D111" i="2" s="1"/>
  <c r="E111" i="2" s="1"/>
  <c r="F112" i="2" s="1"/>
  <c r="D70" i="2"/>
  <c r="E70" i="2" s="1"/>
  <c r="D71" i="2" s="1"/>
  <c r="E71" i="2" s="1"/>
  <c r="C27" i="5"/>
  <c r="E72" i="2" l="1"/>
  <c r="D73" i="2" s="1"/>
  <c r="E73" i="2" s="1"/>
  <c r="E74" i="2" s="1"/>
  <c r="D75" i="2" s="1"/>
  <c r="E75" i="2" s="1"/>
  <c r="F76" i="2" s="1"/>
  <c r="C209" i="2"/>
  <c r="C208" i="2"/>
  <c r="C210" i="2"/>
  <c r="A26" i="2" l="1"/>
  <c r="A25" i="2"/>
  <c r="A24" i="2"/>
  <c r="A16" i="2"/>
  <c r="A15" i="2"/>
  <c r="A7" i="2"/>
  <c r="C13" i="9" l="1"/>
  <c r="C14" i="9" s="1"/>
  <c r="C15" i="9" l="1"/>
  <c r="C17" i="9"/>
  <c r="C22" i="9" s="1"/>
  <c r="C24" i="9" s="1"/>
  <c r="C179" i="2"/>
  <c r="C184" i="2"/>
  <c r="E35" i="2" l="1"/>
  <c r="E33" i="2"/>
  <c r="C203" i="2" l="1"/>
  <c r="C198" i="2"/>
  <c r="D228" i="2"/>
  <c r="D226" i="2"/>
  <c r="D224" i="2"/>
  <c r="D222" i="2"/>
  <c r="D158" i="2" l="1"/>
  <c r="E158" i="2" s="1"/>
  <c r="E142" i="2"/>
  <c r="E143" i="2"/>
  <c r="E144" i="2"/>
  <c r="E145" i="2"/>
  <c r="E146" i="2"/>
  <c r="E147" i="2"/>
  <c r="E148" i="2"/>
  <c r="E149" i="2"/>
  <c r="E150" i="2"/>
  <c r="E141" i="2"/>
  <c r="D50" i="2" l="1"/>
  <c r="E50" i="2" s="1"/>
  <c r="D49" i="2"/>
  <c r="E49" i="2" s="1"/>
  <c r="D82" i="2"/>
  <c r="E82" i="2" s="1"/>
  <c r="D51" i="2" l="1"/>
  <c r="E51" i="2" s="1"/>
  <c r="D83" i="2"/>
  <c r="E83" i="2" s="1"/>
  <c r="D84" i="2" s="1"/>
  <c r="E84" i="2" s="1"/>
  <c r="C243" i="2" l="1"/>
  <c r="A23" i="2"/>
  <c r="A22" i="2"/>
  <c r="A21" i="2"/>
  <c r="A20" i="2"/>
  <c r="A19" i="2"/>
  <c r="A18" i="2"/>
  <c r="A17" i="2"/>
  <c r="A14" i="2"/>
  <c r="A13" i="2"/>
  <c r="A12" i="2"/>
  <c r="A11" i="2"/>
  <c r="A10" i="2"/>
  <c r="A9" i="2"/>
  <c r="A8" i="2"/>
  <c r="C20" i="8"/>
  <c r="E268" i="2"/>
  <c r="E188" i="2"/>
  <c r="E166" i="2"/>
  <c r="E153" i="2"/>
  <c r="E132" i="2"/>
  <c r="E91" i="2"/>
  <c r="E57" i="2"/>
  <c r="D192" i="2"/>
  <c r="C15" i="4"/>
  <c r="C20" i="4" s="1"/>
  <c r="C277" i="2" s="1"/>
  <c r="F13" i="4"/>
  <c r="E13" i="4"/>
  <c r="D13" i="4"/>
  <c r="C17" i="8"/>
  <c r="C29" i="5"/>
  <c r="E80" i="2"/>
  <c r="D119" i="2" s="1"/>
  <c r="E119" i="2" s="1"/>
  <c r="C241" i="2"/>
  <c r="E241" i="2" s="1"/>
  <c r="C220" i="2"/>
  <c r="D220" i="2"/>
  <c r="D229" i="2" s="1"/>
  <c r="D197" i="2"/>
  <c r="C185" i="2"/>
  <c r="C180" i="2"/>
  <c r="C264" i="2"/>
  <c r="C266" i="2" s="1"/>
  <c r="E266" i="2" s="1"/>
  <c r="D267" i="2" s="1"/>
  <c r="E267" i="2" s="1"/>
  <c r="C181" i="2"/>
  <c r="C197" i="2" s="1"/>
  <c r="A32" i="2"/>
  <c r="A33" i="2"/>
  <c r="A34" i="2"/>
  <c r="A35" i="2"/>
  <c r="A39" i="2"/>
  <c r="E48" i="2"/>
  <c r="D118" i="2" s="1"/>
  <c r="E118" i="2" s="1"/>
  <c r="A124" i="2"/>
  <c r="A130" i="2" s="1"/>
  <c r="A125" i="2"/>
  <c r="A131" i="2" s="1"/>
  <c r="E151" i="2"/>
  <c r="D159" i="2"/>
  <c r="E159" i="2" s="1"/>
  <c r="D160" i="2"/>
  <c r="E160" i="2" s="1"/>
  <c r="D161" i="2"/>
  <c r="E161" i="2" s="1"/>
  <c r="D162" i="2"/>
  <c r="E162" i="2" s="1"/>
  <c r="D163" i="2"/>
  <c r="E163" i="2" s="1"/>
  <c r="E164" i="2"/>
  <c r="E239" i="2"/>
  <c r="E210" i="2"/>
  <c r="E209" i="2"/>
  <c r="E252" i="2"/>
  <c r="E255" i="2"/>
  <c r="E256" i="2"/>
  <c r="E253" i="2"/>
  <c r="E254" i="2"/>
  <c r="D86" i="2"/>
  <c r="E86" i="2" s="1"/>
  <c r="C222" i="2" l="1"/>
  <c r="E222" i="2" s="1"/>
  <c r="F120" i="2"/>
  <c r="C31" i="5"/>
  <c r="C32" i="5" s="1"/>
  <c r="C30" i="5"/>
  <c r="C31" i="8" s="1"/>
  <c r="D179" i="2"/>
  <c r="E179" i="2" s="1"/>
  <c r="D208" i="2"/>
  <c r="C226" i="2"/>
  <c r="E226" i="2" s="1"/>
  <c r="C228" i="2"/>
  <c r="E228" i="2" s="1"/>
  <c r="F257" i="2"/>
  <c r="F259" i="2" s="1"/>
  <c r="E24" i="2" s="1"/>
  <c r="E125" i="2"/>
  <c r="E220" i="2"/>
  <c r="E181" i="2"/>
  <c r="D152" i="2"/>
  <c r="E124" i="2"/>
  <c r="C152" i="2"/>
  <c r="E36" i="2"/>
  <c r="C130" i="2"/>
  <c r="E130" i="2" s="1"/>
  <c r="E197" i="2"/>
  <c r="C131" i="2"/>
  <c r="E131" i="2" s="1"/>
  <c r="D52" i="2"/>
  <c r="E52" i="2" s="1"/>
  <c r="E53" i="2" s="1"/>
  <c r="D54" i="2" s="1"/>
  <c r="C165" i="2"/>
  <c r="C224" i="2"/>
  <c r="E224" i="2" s="1"/>
  <c r="C234" i="2"/>
  <c r="E234" i="2" s="1"/>
  <c r="F235" i="2" s="1"/>
  <c r="E22" i="2" s="1"/>
  <c r="E264" i="2"/>
  <c r="D265" i="2" s="1"/>
  <c r="E265" i="2" s="1"/>
  <c r="F268" i="2" s="1"/>
  <c r="F270" i="2" s="1"/>
  <c r="E25" i="2" s="1"/>
  <c r="E192" i="2"/>
  <c r="D242" i="2"/>
  <c r="E242" i="2" s="1"/>
  <c r="D243" i="2" s="1"/>
  <c r="E243" i="2" s="1"/>
  <c r="F244" i="2" s="1"/>
  <c r="E23" i="2" s="1"/>
  <c r="D165" i="2"/>
  <c r="E87" i="2"/>
  <c r="C30" i="8" l="1"/>
  <c r="C37" i="5"/>
  <c r="C27" i="8" s="1"/>
  <c r="C35" i="8" s="1"/>
  <c r="D180" i="2"/>
  <c r="E180" i="2" s="1"/>
  <c r="E208" i="2"/>
  <c r="D211" i="2" s="1"/>
  <c r="E211" i="2" s="1"/>
  <c r="F212" i="2" s="1"/>
  <c r="E20" i="2" s="1"/>
  <c r="C194" i="2"/>
  <c r="C195" i="2" s="1"/>
  <c r="D196" i="2" s="1"/>
  <c r="E196" i="2" s="1"/>
  <c r="C28" i="8"/>
  <c r="C19" i="8"/>
  <c r="C25" i="8" s="1"/>
  <c r="C34" i="8" s="1"/>
  <c r="F126" i="2"/>
  <c r="E13" i="2" s="1"/>
  <c r="F132" i="2"/>
  <c r="E14" i="2" s="1"/>
  <c r="E165" i="2"/>
  <c r="F166" i="2" s="1"/>
  <c r="E152" i="2"/>
  <c r="F153" i="2" s="1"/>
  <c r="D184" i="2"/>
  <c r="E184" i="2" s="1"/>
  <c r="D185" i="2" s="1"/>
  <c r="E185" i="2" s="1"/>
  <c r="E12" i="2"/>
  <c r="F230" i="2"/>
  <c r="E21" i="2" s="1"/>
  <c r="D88" i="2"/>
  <c r="C199" i="2" l="1"/>
  <c r="C200" i="2" s="1"/>
  <c r="D201" i="2" s="1"/>
  <c r="E201" i="2" s="1"/>
  <c r="E202" i="2" s="1"/>
  <c r="D203" i="2" s="1"/>
  <c r="E203" i="2" s="1"/>
  <c r="F204" i="2" s="1"/>
  <c r="C29" i="8"/>
  <c r="C32" i="8" s="1"/>
  <c r="C36" i="8"/>
  <c r="E186" i="2"/>
  <c r="D187" i="2" s="1"/>
  <c r="E187" i="2" s="1"/>
  <c r="F188" i="2" s="1"/>
  <c r="E18" i="2" s="1"/>
  <c r="F168" i="2"/>
  <c r="E15" i="2" s="1"/>
  <c r="C37" i="8" l="1"/>
  <c r="C88" i="2" s="1"/>
  <c r="E19" i="2"/>
  <c r="E17" i="2" s="1"/>
  <c r="F247" i="2"/>
  <c r="E16" i="2" s="1"/>
  <c r="E9" i="2" l="1"/>
  <c r="C54" i="2"/>
  <c r="E54" i="2" s="1"/>
  <c r="E55" i="2" s="1"/>
  <c r="D56" i="2" s="1"/>
  <c r="E56" i="2" s="1"/>
  <c r="F57" i="2" s="1"/>
  <c r="E8" i="2" s="1"/>
  <c r="E11" i="2"/>
  <c r="E88" i="2"/>
  <c r="E89" i="2" s="1"/>
  <c r="D90" i="2" s="1"/>
  <c r="E90" i="2" s="1"/>
  <c r="F91" i="2" s="1"/>
  <c r="E10" i="2" s="1"/>
  <c r="F134" i="2" l="1"/>
  <c r="F272" i="2" s="1"/>
  <c r="E7" i="2" l="1"/>
  <c r="D277" i="2"/>
  <c r="E277" i="2" s="1"/>
  <c r="F278" i="2" s="1"/>
  <c r="F280" i="2" s="1"/>
  <c r="E26" i="2" s="1"/>
  <c r="E27" i="2" l="1"/>
  <c r="F7" i="2" s="1"/>
  <c r="F283" i="2"/>
  <c r="F288" i="2" s="1"/>
  <c r="F25" i="2" l="1"/>
  <c r="F9" i="2"/>
  <c r="F15" i="2"/>
  <c r="F8" i="2"/>
  <c r="F14" i="2"/>
  <c r="F11" i="2"/>
  <c r="F16" i="2"/>
  <c r="F23" i="2"/>
  <c r="F22" i="2"/>
  <c r="F10" i="2"/>
  <c r="F17" i="2"/>
  <c r="F18" i="2"/>
  <c r="F19" i="2"/>
  <c r="F13" i="2"/>
  <c r="F20" i="2"/>
  <c r="F12" i="2"/>
  <c r="F24" i="2"/>
  <c r="F21" i="2"/>
  <c r="F26" i="2"/>
  <c r="F27" i="2" l="1"/>
</calcChain>
</file>

<file path=xl/comments1.xml><?xml version="1.0" encoding="utf-8"?>
<comments xmlns="http://schemas.openxmlformats.org/spreadsheetml/2006/main">
  <authors>
    <author>Clauber Bridi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1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70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4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6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0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6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17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18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9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24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5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0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31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4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4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7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1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8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8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9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10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16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2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2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2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27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2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34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3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4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42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5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61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4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66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77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86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<sst xmlns="http://schemas.openxmlformats.org/spreadsheetml/2006/main" count="603" uniqueCount="319">
  <si>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</si>
  <si>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</si>
  <si>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</si>
  <si>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</si>
  <si>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</si>
  <si>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</si>
  <si>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</si>
  <si>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</si>
  <si>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</si>
  <si>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</si>
  <si>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</si>
  <si>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</si>
  <si>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</si>
  <si>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</si>
  <si>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</si>
  <si>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</si>
  <si>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</si>
  <si>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</si>
  <si>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</si>
  <si>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</si>
  <si>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</si>
  <si>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</si>
  <si>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</si>
  <si>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</si>
  <si>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</si>
  <si>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</si>
  <si>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</si>
  <si>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</si>
  <si>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</si>
  <si>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</si>
  <si>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</si>
  <si>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</si>
  <si>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</si>
  <si>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</si>
  <si>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</si>
  <si>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</si>
  <si>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</si>
  <si>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</si>
  <si>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</si>
  <si>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</si>
  <si>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</si>
  <si>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</si>
  <si>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</si>
  <si>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</si>
  <si>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</si>
  <si>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</si>
  <si>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</si>
  <si>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</si>
  <si>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</si>
  <si>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</si>
  <si>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</si>
  <si>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</si>
  <si>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</si>
  <si>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</si>
  <si>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</si>
  <si>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</si>
  <si>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</si>
  <si>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</si>
  <si>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</si>
  <si>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</si>
  <si>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</si>
  <si>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</si>
  <si>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</si>
  <si>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</si>
  <si>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</si>
  <si>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</si>
  <si>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</si>
  <si>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</si>
  <si>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</si>
  <si>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</si>
  <si>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</si>
  <si>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</si>
  <si>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</si>
  <si>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</si>
  <si>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</si>
  <si>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</si>
  <si>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</si>
  <si>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</si>
  <si>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</si>
  <si>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</si>
  <si>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</si>
  <si>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</si>
  <si>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</si>
  <si>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</si>
  <si>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</si>
  <si>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</si>
  <si>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</si>
  <si>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</si>
  <si>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</si>
  <si>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</si>
  <si>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</si>
  <si>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</si>
  <si>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</si>
  <si>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</si>
  <si>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</si>
  <si>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</si>
  <si>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</si>
  <si>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</si>
  <si>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</si>
  <si>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</si>
  <si>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</si>
  <si>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Custo do jogo de pneus xxx/xx Rxx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</si>
  <si>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</si>
  <si>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</si>
  <si>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</si>
  <si>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</si>
  <si>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</si>
  <si>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</si>
  <si>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</si>
  <si>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</si>
  <si>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</si>
  <si>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</si>
  <si>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</si>
  <si>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</si>
  <si>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</si>
  <si>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</si>
  <si>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</si>
  <si>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</si>
  <si>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</si>
  <si>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</si>
  <si>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</si>
  <si>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</si>
  <si>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</si>
  <si>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</si>
  <si>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</si>
  <si>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</si>
  <si>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</si>
  <si>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</si>
  <si>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</si>
  <si>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</si>
  <si>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</si>
  <si>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</si>
  <si>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</si>
  <si>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</si>
  <si>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</si>
  <si>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</si>
  <si>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</si>
  <si>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</si>
  <si>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</si>
  <si>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</si>
  <si>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</si>
  <si>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</si>
  <si>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</si>
  <si>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</si>
  <si>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</si>
  <si>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</si>
  <si>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</si>
  <si>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</si>
  <si>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</si>
  <si>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</si>
  <si>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</si>
  <si>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</si>
  <si>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</si>
  <si>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</si>
  <si>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</si>
  <si>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</si>
  <si>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</si>
  <si>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</si>
  <si>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</si>
  <si>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</si>
  <si>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</si>
  <si>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</si>
  <si>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</si>
  <si>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</si>
  <si>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</si>
  <si>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</si>
  <si>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</si>
  <si>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</si>
  <si>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</si>
  <si>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</si>
  <si>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</si>
  <si>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</si>
  <si>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</si>
  <si>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</si>
  <si>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</si>
  <si>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</si>
  <si>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</si>
  <si>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</si>
  <si>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</si>
  <si>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</si>
  <si>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</si>
  <si>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</si>
  <si>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</si>
  <si>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</si>
  <si>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</si>
  <si>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</si>
  <si>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</si>
  <si>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</si>
  <si>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</si>
  <si>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</si>
  <si>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</si>
  <si>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</si>
  <si>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</si>
  <si>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</si>
  <si>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</si>
  <si>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</si>
  <si>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</si>
  <si>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</si>
  <si>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</si>
  <si>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</si>
  <si>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</si>
  <si>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</si>
  <si>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</si>
  <si>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</si>
  <si>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</si>
  <si>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</si>
  <si>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</si>
  <si>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</si>
  <si>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</si>
  <si>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</si>
  <si>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</si>
  <si>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</si>
  <si>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</si>
  <si>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</si>
  <si>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</si>
  <si>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</si>
  <si>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</si>
  <si>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</si>
  <si>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</si>
  <si>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</si>
  <si>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</si>
  <si>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</si>
  <si>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</si>
  <si>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</si>
  <si>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</si>
  <si>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</si>
  <si>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</si>
  <si>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</si>
  <si>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</si>
  <si>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</si>
  <si>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</si>
  <si>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</si>
  <si>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</si>
  <si>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</si>
  <si>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</si>
  <si>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</si>
  <si>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</si>
  <si>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</si>
  <si>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</si>
  <si>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</si>
  <si>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</si>
  <si>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</si>
  <si>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</si>
  <si>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</si>
  <si>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</si>
  <si>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</si>
  <si>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</si>
  <si>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</si>
  <si>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</si>
  <si>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</si>
  <si>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</si>
  <si>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</si>
  <si>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</si>
  <si>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</si>
  <si>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</si>
  <si>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</si>
  <si>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</si>
  <si>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</si>
  <si>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</si>
  <si>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</si>
  <si>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</si>
  <si>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</si>
  <si>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</si>
  <si>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</si>
  <si>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</si>
  <si>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</si>
  <si>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</si>
  <si>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</si>
  <si>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</si>
  <si>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</si>
  <si>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</si>
  <si>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</si>
  <si>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</si>
  <si>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</si>
  <si>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</si>
  <si>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</si>
  <si>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</si>
  <si>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</si>
  <si>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</si>
  <si>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</si>
  <si>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</si>
  <si>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</si>
  <si>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</si>
  <si>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</si>
  <si>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</si>
  <si>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</si>
  <si>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</si>
  <si>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</si>
  <si>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</si>
  <si>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</si>
  <si>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</si>
  <si>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</si>
  <si>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</si>
  <si>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</si>
  <si>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</si>
  <si>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</si>
  <si>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</si>
  <si>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</si>
  <si>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</si>
  <si>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</si>
  <si>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</si>
  <si>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</si>
  <si>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</si>
  <si>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</si>
  <si>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</si>
  <si>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</si>
  <si>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</si>
  <si>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</si>
  <si>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</si>
  <si>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</si>
  <si>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</si>
  <si>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</si>
  <si>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</si>
  <si>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</si>
  <si>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</si>
  <si>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</si>
  <si>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</si>
  <si>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1. Coleta de Resíduos Sólidos (baixa temporada: 03/03 à 23/12)</t>
  </si>
  <si>
    <t>PREÇO 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</si>
</sst>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9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11" xfId="3" applyFont="1" applyBorder="1" applyAlignment="1">
      <alignment vertical="center"/>
    </xf>
    <xf numFmtId="166" fontId="3" fillId="0" borderId="12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3" applyFont="1" applyBorder="1" applyAlignment="1">
      <alignment vertical="center"/>
    </xf>
    <xf numFmtId="166" fontId="3" fillId="0" borderId="13" xfId="3" applyFont="1" applyBorder="1" applyAlignment="1">
      <alignment horizontal="right" vertical="center"/>
    </xf>
    <xf numFmtId="166" fontId="0" fillId="0" borderId="14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6" fontId="13" fillId="2" borderId="17" xfId="3" applyFont="1" applyFill="1" applyBorder="1" applyAlignment="1">
      <alignment horizontal="center" vertical="center"/>
    </xf>
    <xf numFmtId="166" fontId="13" fillId="2" borderId="18" xfId="3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9" xfId="3" applyFont="1" applyBorder="1" applyAlignment="1">
      <alignment vertical="center"/>
    </xf>
    <xf numFmtId="166" fontId="6" fillId="0" borderId="14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6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166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6" fontId="13" fillId="2" borderId="33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6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4" xfId="3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166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3" borderId="9" xfId="3" applyNumberFormat="1" applyFont="1" applyFill="1" applyBorder="1" applyAlignment="1">
      <alignment vertical="center"/>
    </xf>
    <xf numFmtId="166" fontId="6" fillId="0" borderId="10" xfId="3" applyFont="1" applyBorder="1" applyAlignment="1">
      <alignment vertical="center"/>
    </xf>
    <xf numFmtId="166" fontId="3" fillId="0" borderId="7" xfId="3" applyFont="1" applyBorder="1" applyAlignment="1">
      <alignment horizontal="right" vertical="center"/>
    </xf>
    <xf numFmtId="166" fontId="3" fillId="2" borderId="4" xfId="3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6" xfId="0" applyNumberFormat="1" applyFont="1" applyBorder="1" applyAlignment="1">
      <alignment vertical="center"/>
    </xf>
    <xf numFmtId="166" fontId="3" fillId="0" borderId="11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6" fontId="3" fillId="0" borderId="54" xfId="3" applyFont="1" applyBorder="1" applyAlignment="1">
      <alignment horizontal="center" vertical="center"/>
    </xf>
    <xf numFmtId="166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173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4" fontId="32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3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2"/>
  <sheetViews>
    <sheetView tabSelected="1" view="pageBreakPreview" zoomScaleNormal="100" zoomScaleSheetLayoutView="100" workbookViewId="0">
      <selection activeCell="J7" sqref="J7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s="4" customFormat="1" ht="16.5" customHeight="1" thickBot="1" x14ac:dyDescent="0.25">
      <c r="A1" s="7"/>
      <c r="B1" s="5"/>
      <c r="C1" s="5"/>
      <c r="D1" s="6"/>
      <c r="E1" s="6"/>
      <c r="F1" s="6"/>
      <c r="G1" s="6"/>
    </row>
    <row r="2" spans="1:7" s="8" customFormat="1" ht="18" x14ac:dyDescent="0.2">
      <c r="A2" s="317" t="s">
        <v>317</v>
      </c>
      <c r="B2" s="318"/>
      <c r="C2" s="318"/>
      <c r="D2" s="318"/>
      <c r="E2" s="318"/>
      <c r="F2" s="319"/>
      <c r="G2" s="36"/>
    </row>
    <row r="3" spans="1:7" s="8" customFormat="1" ht="21.75" customHeight="1" x14ac:dyDescent="0.2">
      <c r="A3" s="320" t="s">
        <v>45</v>
      </c>
      <c r="B3" s="321"/>
      <c r="C3" s="321"/>
      <c r="D3" s="321"/>
      <c r="E3" s="321"/>
      <c r="F3" s="322"/>
      <c r="G3" s="36"/>
    </row>
    <row r="4" spans="1:7" s="4" customFormat="1" ht="10.9" customHeight="1" thickBot="1" x14ac:dyDescent="0.25">
      <c r="A4" s="151"/>
      <c r="B4" s="152"/>
      <c r="C4" s="152"/>
      <c r="D4" s="153"/>
      <c r="E4" s="153"/>
      <c r="F4" s="154"/>
      <c r="G4" s="6"/>
    </row>
    <row r="5" spans="1:7" s="4" customFormat="1" ht="15.75" customHeight="1" thickBot="1" x14ac:dyDescent="0.25">
      <c r="A5" s="326" t="s">
        <v>213</v>
      </c>
      <c r="B5" s="327"/>
      <c r="C5" s="327"/>
      <c r="D5" s="327"/>
      <c r="E5" s="327"/>
      <c r="F5" s="328"/>
      <c r="G5" s="6"/>
    </row>
    <row r="6" spans="1:7" s="4" customFormat="1" ht="15.75" customHeight="1" x14ac:dyDescent="0.2">
      <c r="A6" s="64" t="s">
        <v>212</v>
      </c>
      <c r="B6" s="40"/>
      <c r="C6" s="40"/>
      <c r="D6" s="261"/>
      <c r="E6" s="116" t="s">
        <v>40</v>
      </c>
      <c r="F6" s="41" t="s">
        <v>2</v>
      </c>
      <c r="G6" s="6"/>
    </row>
    <row r="7" spans="1:7" s="11" customFormat="1" ht="15.75" customHeight="1" x14ac:dyDescent="0.2">
      <c r="A7" s="126" t="str">
        <f>A44</f>
        <v>1. Mão-de-obra</v>
      </c>
      <c r="B7" s="127"/>
      <c r="C7" s="128"/>
      <c r="D7" s="128"/>
      <c r="E7" s="258">
        <f>+F134</f>
        <v>9723.7675998103987</v>
      </c>
      <c r="F7" s="129">
        <f>IFERROR(E7/$E$27,0)</f>
        <v>0.36907443907652138</v>
      </c>
      <c r="G7" s="44"/>
    </row>
    <row r="8" spans="1:7" s="4" customFormat="1" ht="15.75" customHeight="1" x14ac:dyDescent="0.2">
      <c r="A8" s="49" t="str">
        <f>A46</f>
        <v>1.1. Coletor Turno Dia</v>
      </c>
      <c r="B8" s="45"/>
      <c r="C8" s="47"/>
      <c r="D8" s="47"/>
      <c r="E8" s="259">
        <f>F57</f>
        <v>6417.4274335303999</v>
      </c>
      <c r="F8" s="58">
        <f>IFERROR(E8/$E$27,0)</f>
        <v>0.24357929228899872</v>
      </c>
      <c r="G8" s="6"/>
    </row>
    <row r="9" spans="1:7" s="4" customFormat="1" ht="15.75" customHeight="1" x14ac:dyDescent="0.2">
      <c r="A9" s="49" t="str">
        <f>A59</f>
        <v>1.2. Coletor Turno Noite</v>
      </c>
      <c r="B9" s="45"/>
      <c r="C9" s="47"/>
      <c r="D9" s="47"/>
      <c r="E9" s="259">
        <f>F76</f>
        <v>0</v>
      </c>
      <c r="F9" s="58">
        <f t="shared" ref="F9:F26" si="0">IFERROR(E9/$E$27,0)</f>
        <v>0</v>
      </c>
      <c r="G9" s="6"/>
    </row>
    <row r="10" spans="1:7" s="4" customFormat="1" ht="15.75" customHeight="1" x14ac:dyDescent="0.2">
      <c r="A10" s="49" t="str">
        <f>A78</f>
        <v>1.3. Motorista Turno do Dia</v>
      </c>
      <c r="B10" s="45"/>
      <c r="C10" s="47"/>
      <c r="D10" s="47"/>
      <c r="E10" s="259">
        <f>F91</f>
        <v>2679.58016628</v>
      </c>
      <c r="F10" s="58">
        <f t="shared" si="0"/>
        <v>0.10170590120332025</v>
      </c>
      <c r="G10" s="6"/>
    </row>
    <row r="11" spans="1:7" s="4" customFormat="1" ht="15.75" customHeight="1" x14ac:dyDescent="0.2">
      <c r="A11" s="49" t="str">
        <f>A93</f>
        <v>1.4. Motorista Turno Noite</v>
      </c>
      <c r="B11" s="45"/>
      <c r="C11" s="47"/>
      <c r="D11" s="47"/>
      <c r="E11" s="259">
        <f>F112</f>
        <v>0</v>
      </c>
      <c r="F11" s="58">
        <f t="shared" si="0"/>
        <v>0</v>
      </c>
      <c r="G11" s="6"/>
    </row>
    <row r="12" spans="1:7" s="4" customFormat="1" ht="15.75" customHeight="1" x14ac:dyDescent="0.2">
      <c r="A12" s="49" t="str">
        <f>A114</f>
        <v>1.5. Vale Transporte</v>
      </c>
      <c r="B12" s="45"/>
      <c r="C12" s="47"/>
      <c r="D12" s="47"/>
      <c r="E12" s="259">
        <f>F120</f>
        <v>0</v>
      </c>
      <c r="F12" s="58">
        <f t="shared" si="0"/>
        <v>0</v>
      </c>
      <c r="G12" s="6"/>
    </row>
    <row r="13" spans="1:7" s="4" customFormat="1" ht="15.75" customHeight="1" x14ac:dyDescent="0.2">
      <c r="A13" s="49" t="str">
        <f>A122</f>
        <v>1.6. Vale-refeição (diário)</v>
      </c>
      <c r="B13" s="45"/>
      <c r="C13" s="47"/>
      <c r="D13" s="47"/>
      <c r="E13" s="259">
        <f>F126</f>
        <v>626.76</v>
      </c>
      <c r="F13" s="58">
        <f t="shared" si="0"/>
        <v>2.3789245584202465E-2</v>
      </c>
      <c r="G13" s="6"/>
    </row>
    <row r="14" spans="1:7" s="4" customFormat="1" ht="15.75" customHeight="1" x14ac:dyDescent="0.2">
      <c r="A14" s="49" t="str">
        <f>A128</f>
        <v>1.7. Auxílio Alimentação (mensal)</v>
      </c>
      <c r="B14" s="45"/>
      <c r="C14" s="47"/>
      <c r="D14" s="47"/>
      <c r="E14" s="259">
        <f>F132</f>
        <v>0</v>
      </c>
      <c r="F14" s="58">
        <f t="shared" si="0"/>
        <v>0</v>
      </c>
      <c r="G14" s="6"/>
    </row>
    <row r="15" spans="1:7" s="11" customFormat="1" ht="15.75" customHeight="1" x14ac:dyDescent="0.2">
      <c r="A15" s="315" t="str">
        <f>A136</f>
        <v>2. Uniformes e Equipamentos de Proteção Individual</v>
      </c>
      <c r="B15" s="316"/>
      <c r="C15" s="316"/>
      <c r="D15" s="128"/>
      <c r="E15" s="258">
        <f>+F168</f>
        <v>257.33333333333337</v>
      </c>
      <c r="F15" s="129">
        <f t="shared" si="0"/>
        <v>9.7673206070395396E-3</v>
      </c>
      <c r="G15" s="44"/>
    </row>
    <row r="16" spans="1:7" s="11" customFormat="1" ht="15.75" customHeight="1" x14ac:dyDescent="0.2">
      <c r="A16" s="137" t="str">
        <f>A170</f>
        <v>3. Veículos e Equipamentos</v>
      </c>
      <c r="B16" s="138"/>
      <c r="C16" s="128"/>
      <c r="D16" s="128"/>
      <c r="E16" s="258">
        <f>+F247</f>
        <v>10304.676806666666</v>
      </c>
      <c r="F16" s="129">
        <f t="shared" si="0"/>
        <v>0.39112337612423986</v>
      </c>
      <c r="G16" s="44"/>
    </row>
    <row r="17" spans="1:7" s="4" customFormat="1" ht="15.75" customHeight="1" x14ac:dyDescent="0.2">
      <c r="A17" s="65" t="str">
        <f>A172</f>
        <v>3.1. Veículo Coletor Compactador 15 m³</v>
      </c>
      <c r="B17" s="46"/>
      <c r="C17" s="47"/>
      <c r="D17" s="47"/>
      <c r="E17" s="259">
        <f>SUM(E18:E23)</f>
        <v>10304.676806666666</v>
      </c>
      <c r="F17" s="144">
        <f t="shared" si="0"/>
        <v>0.39112337612423986</v>
      </c>
      <c r="G17" s="6"/>
    </row>
    <row r="18" spans="1:7" s="4" customFormat="1" ht="15.75" customHeight="1" x14ac:dyDescent="0.2">
      <c r="A18" s="65" t="str">
        <f>A174</f>
        <v>3.1.1. Depreciação</v>
      </c>
      <c r="B18" s="46"/>
      <c r="C18" s="47"/>
      <c r="D18" s="47"/>
      <c r="E18" s="259">
        <f>F188</f>
        <v>2691.2</v>
      </c>
      <c r="F18" s="144">
        <f t="shared" si="0"/>
        <v>0.10214694255569225</v>
      </c>
      <c r="G18" s="6"/>
    </row>
    <row r="19" spans="1:7" s="4" customFormat="1" ht="15.75" customHeight="1" x14ac:dyDescent="0.2">
      <c r="A19" s="65" t="str">
        <f>A190</f>
        <v>3.1.2. Remuneração do Capital</v>
      </c>
      <c r="B19" s="46"/>
      <c r="C19" s="47"/>
      <c r="D19" s="47"/>
      <c r="E19" s="259">
        <f>F204</f>
        <v>1127.056</v>
      </c>
      <c r="F19" s="144">
        <f t="shared" si="0"/>
        <v>4.2778435080651121E-2</v>
      </c>
      <c r="G19" s="6"/>
    </row>
    <row r="20" spans="1:7" s="4" customFormat="1" ht="15.75" customHeight="1" x14ac:dyDescent="0.2">
      <c r="A20" s="65" t="str">
        <f>A206</f>
        <v>3.1.3. Impostos e Seguros</v>
      </c>
      <c r="B20" s="46"/>
      <c r="C20" s="47"/>
      <c r="D20" s="47"/>
      <c r="E20" s="259">
        <f>F212</f>
        <v>179.16666666666666</v>
      </c>
      <c r="F20" s="144">
        <f t="shared" si="0"/>
        <v>6.8004337128027871E-3</v>
      </c>
      <c r="G20" s="6"/>
    </row>
    <row r="21" spans="1:7" s="4" customFormat="1" ht="15.75" customHeight="1" x14ac:dyDescent="0.2">
      <c r="A21" s="65" t="str">
        <f>A214</f>
        <v>3.1.4. Consumos</v>
      </c>
      <c r="B21" s="46"/>
      <c r="C21" s="47"/>
      <c r="D21" s="47"/>
      <c r="E21" s="259">
        <f>F230</f>
        <v>4006.1421399999999</v>
      </c>
      <c r="F21" s="144">
        <f t="shared" si="0"/>
        <v>0.15205676688633993</v>
      </c>
      <c r="G21" s="6"/>
    </row>
    <row r="22" spans="1:7" s="4" customFormat="1" ht="15.75" customHeight="1" x14ac:dyDescent="0.2">
      <c r="A22" s="65" t="str">
        <f>A232</f>
        <v>3.1.5. Manutenção</v>
      </c>
      <c r="B22" s="46"/>
      <c r="C22" s="47"/>
      <c r="D22" s="47"/>
      <c r="E22" s="259">
        <f>F235</f>
        <v>1790.14</v>
      </c>
      <c r="F22" s="144">
        <f t="shared" si="0"/>
        <v>6.7946391106809945E-2</v>
      </c>
      <c r="G22" s="6"/>
    </row>
    <row r="23" spans="1:7" s="4" customFormat="1" ht="15.75" customHeight="1" x14ac:dyDescent="0.2">
      <c r="A23" s="65" t="str">
        <f>A237</f>
        <v>3.1.6. Pneus</v>
      </c>
      <c r="B23" s="46"/>
      <c r="C23" s="47"/>
      <c r="D23" s="47"/>
      <c r="E23" s="259">
        <f>F244</f>
        <v>510.97199999999998</v>
      </c>
      <c r="F23" s="144">
        <f t="shared" si="0"/>
        <v>1.9394406781943808E-2</v>
      </c>
      <c r="G23" s="6"/>
    </row>
    <row r="24" spans="1:7" s="11" customFormat="1" ht="15.75" customHeight="1" x14ac:dyDescent="0.2">
      <c r="A24" s="137" t="str">
        <f>A249</f>
        <v>4. Ferramentas e Materiais de Consumo</v>
      </c>
      <c r="B24" s="138"/>
      <c r="C24" s="128"/>
      <c r="D24" s="128"/>
      <c r="E24" s="258">
        <f>+F259</f>
        <v>53.166666666666664</v>
      </c>
      <c r="F24" s="129">
        <f t="shared" si="0"/>
        <v>2.0179891668689201E-3</v>
      </c>
      <c r="G24" s="44"/>
    </row>
    <row r="25" spans="1:7" s="11" customFormat="1" ht="15.75" customHeight="1" x14ac:dyDescent="0.2">
      <c r="A25" s="137" t="str">
        <f>A261</f>
        <v>5. Monitoramento da Frota</v>
      </c>
      <c r="B25" s="138"/>
      <c r="C25" s="128"/>
      <c r="D25" s="128"/>
      <c r="E25" s="258">
        <f>+F270</f>
        <v>1120.9878333333334</v>
      </c>
      <c r="F25" s="129">
        <f t="shared" si="0"/>
        <v>4.2548112298279546E-2</v>
      </c>
      <c r="G25" s="44"/>
    </row>
    <row r="26" spans="1:7" s="11" customFormat="1" ht="15.75" customHeight="1" thickBot="1" x14ac:dyDescent="0.25">
      <c r="A26" s="137" t="str">
        <f>A274</f>
        <v>6. Benefícios e Despesas Indiretas - BDI</v>
      </c>
      <c r="B26" s="138"/>
      <c r="C26" s="128"/>
      <c r="D26" s="128"/>
      <c r="E26" s="260">
        <f>+F280</f>
        <v>4886.4265710048294</v>
      </c>
      <c r="F26" s="129">
        <f t="shared" si="0"/>
        <v>0.1854687627270506</v>
      </c>
      <c r="G26" s="44"/>
    </row>
    <row r="27" spans="1:7" s="4" customFormat="1" ht="15.75" customHeight="1" thickBot="1" x14ac:dyDescent="0.25">
      <c r="A27" s="42" t="s">
        <v>318</v>
      </c>
      <c r="B27" s="43"/>
      <c r="C27" s="26"/>
      <c r="D27" s="26"/>
      <c r="E27" s="115">
        <f>E7+E15+E16+E24+E25+E26</f>
        <v>26346.358810815233</v>
      </c>
      <c r="F27" s="143">
        <f>F7+F15+F16+F24+F25+F26</f>
        <v>0.99999999999999989</v>
      </c>
      <c r="G27" s="6"/>
    </row>
    <row r="29" spans="1:7" ht="13.5" thickBot="1" x14ac:dyDescent="0.25"/>
    <row r="30" spans="1:7" s="4" customFormat="1" ht="15" customHeight="1" thickBot="1" x14ac:dyDescent="0.25">
      <c r="A30" s="326" t="s">
        <v>103</v>
      </c>
      <c r="B30" s="327"/>
      <c r="C30" s="327"/>
      <c r="D30" s="327"/>
      <c r="E30" s="328"/>
      <c r="F30" s="10"/>
      <c r="G30" s="6"/>
    </row>
    <row r="31" spans="1:7" s="4" customFormat="1" ht="15" customHeight="1" thickBot="1" x14ac:dyDescent="0.25">
      <c r="A31" s="323" t="s">
        <v>41</v>
      </c>
      <c r="B31" s="324"/>
      <c r="C31" s="324"/>
      <c r="D31" s="325"/>
      <c r="E31" s="48" t="s">
        <v>42</v>
      </c>
      <c r="F31" s="10"/>
      <c r="G31" s="6"/>
    </row>
    <row r="32" spans="1:7" s="4" customFormat="1" ht="15" customHeight="1" x14ac:dyDescent="0.2">
      <c r="A32" s="73" t="str">
        <f>+A46</f>
        <v>1.1. Coletor Turno Dia</v>
      </c>
      <c r="B32" s="74"/>
      <c r="C32" s="74"/>
      <c r="D32" s="75"/>
      <c r="E32" s="76">
        <v>2</v>
      </c>
      <c r="F32" s="10"/>
      <c r="G32" s="6"/>
    </row>
    <row r="33" spans="1:7" s="4" customFormat="1" ht="15" customHeight="1" x14ac:dyDescent="0.2">
      <c r="A33" s="67" t="str">
        <f>+A59</f>
        <v>1.2. Coletor Turno Noite</v>
      </c>
      <c r="B33" s="66"/>
      <c r="C33" s="66"/>
      <c r="D33" s="77"/>
      <c r="E33" s="70">
        <f>C75</f>
        <v>0</v>
      </c>
      <c r="F33" s="10"/>
      <c r="G33" s="6"/>
    </row>
    <row r="34" spans="1:7" s="4" customFormat="1" ht="15" customHeight="1" x14ac:dyDescent="0.2">
      <c r="A34" s="67" t="str">
        <f>+A78</f>
        <v>1.3. Motorista Turno do Dia</v>
      </c>
      <c r="B34" s="66"/>
      <c r="C34" s="66"/>
      <c r="D34" s="77"/>
      <c r="E34" s="70">
        <v>1</v>
      </c>
      <c r="F34" s="10"/>
      <c r="G34" s="6"/>
    </row>
    <row r="35" spans="1:7" s="4" customFormat="1" ht="15" customHeight="1" x14ac:dyDescent="0.2">
      <c r="A35" s="67" t="str">
        <f>+A93</f>
        <v>1.4. Motorista Turno Noite</v>
      </c>
      <c r="B35" s="66"/>
      <c r="C35" s="66"/>
      <c r="D35" s="77"/>
      <c r="E35" s="70">
        <f>C111</f>
        <v>0</v>
      </c>
      <c r="F35" s="10"/>
      <c r="G35" s="6"/>
    </row>
    <row r="36" spans="1:7" s="4" customFormat="1" ht="15" customHeight="1" thickBot="1" x14ac:dyDescent="0.25">
      <c r="A36" s="71" t="s">
        <v>61</v>
      </c>
      <c r="B36" s="72"/>
      <c r="C36" s="72"/>
      <c r="D36" s="78"/>
      <c r="E36" s="79">
        <f>SUM(E32:E35)</f>
        <v>3</v>
      </c>
      <c r="F36" s="10"/>
      <c r="G36" s="6"/>
    </row>
    <row r="37" spans="1:7" s="4" customFormat="1" ht="15" customHeight="1" thickBot="1" x14ac:dyDescent="0.25">
      <c r="A37" s="130"/>
      <c r="B37" s="131"/>
      <c r="C37" s="59"/>
      <c r="D37" s="59"/>
      <c r="E37" s="132"/>
      <c r="F37" s="10"/>
      <c r="G37" s="6"/>
    </row>
    <row r="38" spans="1:7" s="4" customFormat="1" ht="15" customHeight="1" x14ac:dyDescent="0.2">
      <c r="A38" s="313" t="s">
        <v>58</v>
      </c>
      <c r="B38" s="314"/>
      <c r="C38" s="314"/>
      <c r="D38" s="314"/>
      <c r="E38" s="48" t="s">
        <v>42</v>
      </c>
      <c r="F38" s="9"/>
      <c r="G38" s="6"/>
    </row>
    <row r="39" spans="1:7" s="4" customFormat="1" ht="15" customHeight="1" thickBot="1" x14ac:dyDescent="0.25">
      <c r="A39" s="133" t="str">
        <f>+A172</f>
        <v>3.1. Veículo Coletor Compactador 15 m³</v>
      </c>
      <c r="B39" s="134"/>
      <c r="C39" s="134"/>
      <c r="D39" s="135"/>
      <c r="E39" s="136">
        <v>1</v>
      </c>
      <c r="F39" s="9"/>
      <c r="G39" s="6"/>
    </row>
    <row r="40" spans="1:7" s="4" customFormat="1" ht="15" customHeight="1" x14ac:dyDescent="0.2">
      <c r="A40" s="59"/>
      <c r="B40" s="59"/>
      <c r="C40" s="59"/>
      <c r="D40" s="54"/>
      <c r="E40" s="251"/>
      <c r="F40" s="9"/>
      <c r="G40" s="6"/>
    </row>
    <row r="41" spans="1:7" s="4" customFormat="1" ht="13.5" thickBot="1" x14ac:dyDescent="0.25">
      <c r="A41" s="59"/>
      <c r="B41" s="59"/>
      <c r="C41" s="59"/>
      <c r="D41" s="54"/>
      <c r="E41" s="68"/>
      <c r="F41" s="9"/>
      <c r="G41" s="6"/>
    </row>
    <row r="42" spans="1:7" s="11" customFormat="1" ht="15.75" customHeight="1" thickBot="1" x14ac:dyDescent="0.25">
      <c r="A42" s="262" t="s">
        <v>207</v>
      </c>
      <c r="B42" s="263">
        <v>1</v>
      </c>
      <c r="C42" s="35"/>
      <c r="D42" s="34"/>
      <c r="E42" s="156"/>
      <c r="G42" s="44"/>
    </row>
    <row r="43" spans="1:7" s="4" customFormat="1" ht="15.75" customHeight="1" x14ac:dyDescent="0.2">
      <c r="A43" s="59"/>
      <c r="B43" s="59"/>
      <c r="C43" s="59"/>
      <c r="D43" s="54"/>
      <c r="E43" s="68"/>
      <c r="F43" s="9"/>
      <c r="G43" s="6"/>
    </row>
    <row r="44" spans="1:7" ht="13.15" customHeight="1" x14ac:dyDescent="0.2">
      <c r="A44" s="11" t="s">
        <v>49</v>
      </c>
    </row>
    <row r="45" spans="1:7" ht="11.25" customHeight="1" x14ac:dyDescent="0.2"/>
    <row r="46" spans="1:7" ht="13.9" customHeight="1" thickBot="1" x14ac:dyDescent="0.25">
      <c r="A46" s="9" t="s">
        <v>106</v>
      </c>
    </row>
    <row r="47" spans="1:7" ht="13.9" customHeight="1" thickBot="1" x14ac:dyDescent="0.25">
      <c r="A47" s="60" t="s">
        <v>66</v>
      </c>
      <c r="B47" s="61" t="s">
        <v>67</v>
      </c>
      <c r="C47" s="61" t="s">
        <v>42</v>
      </c>
      <c r="D47" s="62" t="s">
        <v>252</v>
      </c>
      <c r="E47" s="62" t="s">
        <v>68</v>
      </c>
      <c r="F47" s="63" t="s">
        <v>69</v>
      </c>
    </row>
    <row r="48" spans="1:7" ht="13.15" customHeight="1" x14ac:dyDescent="0.2">
      <c r="A48" s="13" t="s">
        <v>229</v>
      </c>
      <c r="B48" s="14" t="s">
        <v>8</v>
      </c>
      <c r="C48" s="14">
        <v>1</v>
      </c>
      <c r="D48" s="87">
        <v>1330.73</v>
      </c>
      <c r="E48" s="15">
        <f>C48*D48</f>
        <v>1330.73</v>
      </c>
    </row>
    <row r="49" spans="1:7" x14ac:dyDescent="0.2">
      <c r="A49" s="16" t="s">
        <v>36</v>
      </c>
      <c r="B49" s="17" t="s">
        <v>0</v>
      </c>
      <c r="C49" s="88">
        <v>0</v>
      </c>
      <c r="D49" s="18">
        <f>D48/220*2</f>
        <v>12.097545454545454</v>
      </c>
      <c r="E49" s="18">
        <f>C49*D49</f>
        <v>0</v>
      </c>
      <c r="G49" s="10" t="s">
        <v>267</v>
      </c>
    </row>
    <row r="50" spans="1:7" ht="13.15" customHeight="1" x14ac:dyDescent="0.2">
      <c r="A50" s="16" t="s">
        <v>37</v>
      </c>
      <c r="B50" s="17" t="s">
        <v>0</v>
      </c>
      <c r="C50" s="88">
        <v>0</v>
      </c>
      <c r="D50" s="18">
        <f>D48/220*1.5</f>
        <v>9.0731590909090905</v>
      </c>
      <c r="E50" s="18">
        <f>C50*D50</f>
        <v>0</v>
      </c>
      <c r="G50" s="10" t="s">
        <v>269</v>
      </c>
    </row>
    <row r="51" spans="1:7" ht="13.15" customHeight="1" x14ac:dyDescent="0.2">
      <c r="A51" s="16" t="s">
        <v>233</v>
      </c>
      <c r="B51" s="17" t="s">
        <v>35</v>
      </c>
      <c r="D51" s="18">
        <f>63/302*(SUM(E49:E50))</f>
        <v>0</v>
      </c>
      <c r="E51" s="18">
        <f>D51</f>
        <v>0</v>
      </c>
      <c r="G51" s="10" t="s">
        <v>232</v>
      </c>
    </row>
    <row r="52" spans="1:7" x14ac:dyDescent="0.2">
      <c r="A52" s="16" t="s">
        <v>1</v>
      </c>
      <c r="B52" s="17" t="s">
        <v>2</v>
      </c>
      <c r="C52" s="17">
        <v>40</v>
      </c>
      <c r="D52" s="83">
        <f>SUM(E48:E51)</f>
        <v>1330.73</v>
      </c>
      <c r="E52" s="18">
        <f>C52*D52/100</f>
        <v>532.29199999999992</v>
      </c>
    </row>
    <row r="53" spans="1:7" x14ac:dyDescent="0.2">
      <c r="A53" s="117" t="s">
        <v>3</v>
      </c>
      <c r="B53" s="118"/>
      <c r="C53" s="118"/>
      <c r="D53" s="119"/>
      <c r="E53" s="120">
        <f>SUM(E48:E52)</f>
        <v>1863.0219999999999</v>
      </c>
    </row>
    <row r="54" spans="1:7" x14ac:dyDescent="0.2">
      <c r="A54" s="16" t="s">
        <v>4</v>
      </c>
      <c r="B54" s="17" t="s">
        <v>2</v>
      </c>
      <c r="C54" s="141">
        <f>'2.Encargos Sociais'!$C$37*100</f>
        <v>72.231660000000005</v>
      </c>
      <c r="D54" s="18">
        <f>E53</f>
        <v>1863.0219999999999</v>
      </c>
      <c r="E54" s="18">
        <f>D54*C54/100</f>
        <v>1345.6917167652</v>
      </c>
    </row>
    <row r="55" spans="1:7" x14ac:dyDescent="0.2">
      <c r="A55" s="117" t="s">
        <v>76</v>
      </c>
      <c r="B55" s="118"/>
      <c r="C55" s="118"/>
      <c r="D55" s="119"/>
      <c r="E55" s="120">
        <f>E53+E54</f>
        <v>3208.7137167651999</v>
      </c>
    </row>
    <row r="56" spans="1:7" ht="13.5" thickBot="1" x14ac:dyDescent="0.25">
      <c r="A56" s="16" t="s">
        <v>5</v>
      </c>
      <c r="B56" s="17" t="s">
        <v>6</v>
      </c>
      <c r="C56" s="86">
        <v>2</v>
      </c>
      <c r="D56" s="18">
        <f>E55</f>
        <v>3208.7137167651999</v>
      </c>
      <c r="E56" s="18">
        <f>C56*D56</f>
        <v>6417.4274335303999</v>
      </c>
      <c r="G56" s="6"/>
    </row>
    <row r="57" spans="1:7" ht="13.9" customHeight="1" thickBot="1" x14ac:dyDescent="0.25">
      <c r="D57" s="124" t="s">
        <v>206</v>
      </c>
      <c r="E57" s="50">
        <f>$B$42</f>
        <v>1</v>
      </c>
      <c r="F57" s="125">
        <f>E56*E57</f>
        <v>6417.4274335303999</v>
      </c>
      <c r="G57" s="6"/>
    </row>
    <row r="58" spans="1:7" ht="11.25" customHeight="1" x14ac:dyDescent="0.2"/>
    <row r="59" spans="1:7" ht="13.5" thickBot="1" x14ac:dyDescent="0.25">
      <c r="A59" s="9" t="s">
        <v>95</v>
      </c>
    </row>
    <row r="60" spans="1:7" ht="13.5" thickBot="1" x14ac:dyDescent="0.25">
      <c r="A60" s="60" t="s">
        <v>66</v>
      </c>
      <c r="B60" s="61" t="s">
        <v>67</v>
      </c>
      <c r="C60" s="61" t="s">
        <v>42</v>
      </c>
      <c r="D60" s="62" t="s">
        <v>252</v>
      </c>
      <c r="E60" s="62" t="s">
        <v>68</v>
      </c>
      <c r="F60" s="63" t="s">
        <v>69</v>
      </c>
    </row>
    <row r="61" spans="1:7" x14ac:dyDescent="0.2">
      <c r="A61" s="13" t="s">
        <v>229</v>
      </c>
      <c r="B61" s="14" t="s">
        <v>8</v>
      </c>
      <c r="C61" s="14">
        <v>0</v>
      </c>
      <c r="D61" s="15">
        <f>D48</f>
        <v>1330.73</v>
      </c>
      <c r="E61" s="15">
        <f>C61*D61</f>
        <v>0</v>
      </c>
    </row>
    <row r="62" spans="1:7" x14ac:dyDescent="0.2">
      <c r="A62" s="16" t="s">
        <v>7</v>
      </c>
      <c r="B62" s="17" t="s">
        <v>104</v>
      </c>
      <c r="C62" s="88"/>
      <c r="D62" s="18"/>
      <c r="E62" s="18"/>
    </row>
    <row r="63" spans="1:7" x14ac:dyDescent="0.2">
      <c r="A63" s="16"/>
      <c r="B63" s="17" t="s">
        <v>109</v>
      </c>
      <c r="C63" s="121">
        <f>C62*8/7</f>
        <v>0</v>
      </c>
      <c r="D63" s="18">
        <f>D61/220*0.2</f>
        <v>1.2097545454545455</v>
      </c>
      <c r="E63" s="18">
        <f>C62*D63</f>
        <v>0</v>
      </c>
    </row>
    <row r="64" spans="1:7" x14ac:dyDescent="0.2">
      <c r="A64" s="16" t="s">
        <v>36</v>
      </c>
      <c r="B64" s="17" t="s">
        <v>0</v>
      </c>
      <c r="C64" s="88"/>
      <c r="D64" s="18">
        <f>D61/220*2</f>
        <v>12.097545454545454</v>
      </c>
      <c r="E64" s="18">
        <f>C64*D64</f>
        <v>0</v>
      </c>
      <c r="G64" s="10" t="s">
        <v>267</v>
      </c>
    </row>
    <row r="65" spans="1:7" x14ac:dyDescent="0.2">
      <c r="A65" s="16" t="s">
        <v>105</v>
      </c>
      <c r="B65" s="17" t="s">
        <v>104</v>
      </c>
      <c r="C65" s="88"/>
      <c r="D65" s="18"/>
      <c r="E65" s="18"/>
      <c r="G65" s="10" t="s">
        <v>268</v>
      </c>
    </row>
    <row r="66" spans="1:7" x14ac:dyDescent="0.2">
      <c r="A66" s="16"/>
      <c r="B66" s="17" t="s">
        <v>109</v>
      </c>
      <c r="C66" s="121">
        <f>C65*8/7</f>
        <v>0</v>
      </c>
      <c r="D66" s="18">
        <f>D61/220*2*1.2</f>
        <v>14.517054545454544</v>
      </c>
      <c r="E66" s="18">
        <f>C66*D66</f>
        <v>0</v>
      </c>
      <c r="G66" s="10" t="s">
        <v>268</v>
      </c>
    </row>
    <row r="67" spans="1:7" x14ac:dyDescent="0.2">
      <c r="A67" s="16" t="s">
        <v>37</v>
      </c>
      <c r="B67" s="17" t="s">
        <v>0</v>
      </c>
      <c r="C67" s="88"/>
      <c r="D67" s="18">
        <f>D61/220*1.5</f>
        <v>9.0731590909090905</v>
      </c>
      <c r="E67" s="18">
        <f>C67*D67</f>
        <v>0</v>
      </c>
      <c r="G67" s="10" t="s">
        <v>269</v>
      </c>
    </row>
    <row r="68" spans="1:7" x14ac:dyDescent="0.2">
      <c r="A68" s="16" t="s">
        <v>231</v>
      </c>
      <c r="B68" s="17" t="s">
        <v>104</v>
      </c>
      <c r="C68" s="88"/>
      <c r="D68" s="18"/>
      <c r="E68" s="18"/>
      <c r="G68" s="10" t="s">
        <v>270</v>
      </c>
    </row>
    <row r="69" spans="1:7" x14ac:dyDescent="0.2">
      <c r="A69" s="16"/>
      <c r="B69" s="17" t="s">
        <v>109</v>
      </c>
      <c r="C69" s="18">
        <f>C68*8/7</f>
        <v>0</v>
      </c>
      <c r="D69" s="18">
        <f>D61/220*1.5*1.2</f>
        <v>10.887790909090908</v>
      </c>
      <c r="E69" s="18">
        <f>C69*D69</f>
        <v>0</v>
      </c>
      <c r="G69" s="10" t="s">
        <v>270</v>
      </c>
    </row>
    <row r="70" spans="1:7" ht="13.15" customHeight="1" x14ac:dyDescent="0.2">
      <c r="A70" s="16" t="s">
        <v>233</v>
      </c>
      <c r="B70" s="17" t="s">
        <v>35</v>
      </c>
      <c r="D70" s="18">
        <f>63/302*(SUM(E64:E69))</f>
        <v>0</v>
      </c>
      <c r="E70" s="18">
        <f>D70</f>
        <v>0</v>
      </c>
      <c r="G70" s="10" t="s">
        <v>232</v>
      </c>
    </row>
    <row r="71" spans="1:7" x14ac:dyDescent="0.2">
      <c r="A71" s="16" t="s">
        <v>1</v>
      </c>
      <c r="B71" s="17" t="s">
        <v>2</v>
      </c>
      <c r="C71" s="17">
        <f>+C52</f>
        <v>40</v>
      </c>
      <c r="D71" s="83">
        <f>SUM(E61:E70)</f>
        <v>0</v>
      </c>
      <c r="E71" s="18">
        <f>C71*D71/100</f>
        <v>0</v>
      </c>
    </row>
    <row r="72" spans="1:7" x14ac:dyDescent="0.2">
      <c r="A72" s="117" t="s">
        <v>3</v>
      </c>
      <c r="B72" s="118"/>
      <c r="C72" s="118"/>
      <c r="D72" s="119"/>
      <c r="E72" s="120">
        <f>SUM(E61:E71)</f>
        <v>0</v>
      </c>
    </row>
    <row r="73" spans="1:7" x14ac:dyDescent="0.2">
      <c r="A73" s="16" t="s">
        <v>4</v>
      </c>
      <c r="B73" s="17" t="s">
        <v>2</v>
      </c>
      <c r="C73" s="141">
        <f>'2.Encargos Sociais'!$C$37*100</f>
        <v>72.231660000000005</v>
      </c>
      <c r="D73" s="18">
        <f>E72</f>
        <v>0</v>
      </c>
      <c r="E73" s="18">
        <f>D73*C73/100</f>
        <v>0</v>
      </c>
    </row>
    <row r="74" spans="1:7" x14ac:dyDescent="0.2">
      <c r="A74" s="117" t="s">
        <v>76</v>
      </c>
      <c r="B74" s="118"/>
      <c r="C74" s="118"/>
      <c r="D74" s="119"/>
      <c r="E74" s="120">
        <f>E72+E73</f>
        <v>0</v>
      </c>
    </row>
    <row r="75" spans="1:7" ht="13.5" thickBot="1" x14ac:dyDescent="0.25">
      <c r="A75" s="16" t="s">
        <v>5</v>
      </c>
      <c r="B75" s="17" t="s">
        <v>6</v>
      </c>
      <c r="C75" s="86"/>
      <c r="D75" s="18">
        <f>E74</f>
        <v>0</v>
      </c>
      <c r="E75" s="18">
        <f>C75*D75</f>
        <v>0</v>
      </c>
    </row>
    <row r="76" spans="1:7" ht="13.5" thickBot="1" x14ac:dyDescent="0.25">
      <c r="D76" s="124" t="s">
        <v>206</v>
      </c>
      <c r="E76" s="50">
        <f>$B$42</f>
        <v>1</v>
      </c>
      <c r="F76" s="125">
        <f>E75*E76</f>
        <v>0</v>
      </c>
    </row>
    <row r="77" spans="1:7" ht="11.25" customHeight="1" x14ac:dyDescent="0.2"/>
    <row r="78" spans="1:7" ht="13.5" thickBot="1" x14ac:dyDescent="0.25">
      <c r="A78" s="9" t="s">
        <v>107</v>
      </c>
    </row>
    <row r="79" spans="1:7" s="12" customFormat="1" ht="13.15" customHeight="1" thickBot="1" x14ac:dyDescent="0.25">
      <c r="A79" s="60" t="s">
        <v>66</v>
      </c>
      <c r="B79" s="61" t="s">
        <v>67</v>
      </c>
      <c r="C79" s="61" t="s">
        <v>42</v>
      </c>
      <c r="D79" s="62" t="s">
        <v>252</v>
      </c>
      <c r="E79" s="62" t="s">
        <v>68</v>
      </c>
      <c r="F79" s="63" t="s">
        <v>69</v>
      </c>
      <c r="G79" s="10"/>
    </row>
    <row r="80" spans="1:7" x14ac:dyDescent="0.2">
      <c r="A80" s="307" t="s">
        <v>307</v>
      </c>
      <c r="B80" s="14" t="s">
        <v>8</v>
      </c>
      <c r="C80" s="14">
        <v>1</v>
      </c>
      <c r="D80" s="87">
        <v>1555.8</v>
      </c>
      <c r="E80" s="15">
        <f>C80*D80</f>
        <v>1555.8</v>
      </c>
    </row>
    <row r="81" spans="1:7" x14ac:dyDescent="0.2">
      <c r="A81" s="307" t="s">
        <v>308</v>
      </c>
      <c r="B81" s="14" t="s">
        <v>8</v>
      </c>
      <c r="C81" s="14">
        <v>1</v>
      </c>
      <c r="D81" s="87">
        <v>1045</v>
      </c>
      <c r="E81" s="15"/>
    </row>
    <row r="82" spans="1:7" x14ac:dyDescent="0.2">
      <c r="A82" s="16" t="s">
        <v>36</v>
      </c>
      <c r="B82" s="17" t="s">
        <v>0</v>
      </c>
      <c r="C82" s="88">
        <v>0</v>
      </c>
      <c r="D82" s="18">
        <f>D80/220*2</f>
        <v>14.143636363636363</v>
      </c>
      <c r="E82" s="18">
        <f>C82*D82</f>
        <v>0</v>
      </c>
      <c r="G82" s="10" t="s">
        <v>267</v>
      </c>
    </row>
    <row r="83" spans="1:7" x14ac:dyDescent="0.2">
      <c r="A83" s="16" t="s">
        <v>37</v>
      </c>
      <c r="B83" s="17" t="s">
        <v>0</v>
      </c>
      <c r="C83" s="88">
        <v>0</v>
      </c>
      <c r="D83" s="18">
        <f>D80/220*1.5</f>
        <v>10.607727272727272</v>
      </c>
      <c r="E83" s="18">
        <f>C83*D83</f>
        <v>0</v>
      </c>
      <c r="G83" s="10" t="s">
        <v>269</v>
      </c>
    </row>
    <row r="84" spans="1:7" ht="13.15" customHeight="1" x14ac:dyDescent="0.2">
      <c r="A84" s="16" t="s">
        <v>233</v>
      </c>
      <c r="B84" s="17" t="s">
        <v>35</v>
      </c>
      <c r="D84" s="18">
        <f>63/302*(SUM(E82:E83))</f>
        <v>0</v>
      </c>
      <c r="E84" s="18">
        <f>D84</f>
        <v>0</v>
      </c>
      <c r="G84" s="10" t="s">
        <v>232</v>
      </c>
    </row>
    <row r="85" spans="1:7" x14ac:dyDescent="0.2">
      <c r="A85" s="16" t="s">
        <v>230</v>
      </c>
      <c r="B85" s="17"/>
      <c r="C85" s="90">
        <v>1045</v>
      </c>
      <c r="D85" s="18"/>
      <c r="E85" s="18"/>
    </row>
    <row r="86" spans="1:7" x14ac:dyDescent="0.2">
      <c r="A86" s="16" t="s">
        <v>1</v>
      </c>
      <c r="B86" s="17" t="s">
        <v>2</v>
      </c>
      <c r="C86" s="86">
        <v>20</v>
      </c>
      <c r="D86" s="83">
        <f>IF(C85=2,SUM(E80:E84),IF(C85=1,(SUM(E80:E84))*D81/D80,0))</f>
        <v>0</v>
      </c>
      <c r="E86" s="18">
        <f>C86*D86/100</f>
        <v>0</v>
      </c>
    </row>
    <row r="87" spans="1:7" s="11" customFormat="1" x14ac:dyDescent="0.2">
      <c r="A87" s="103" t="s">
        <v>3</v>
      </c>
      <c r="B87" s="118"/>
      <c r="C87" s="118"/>
      <c r="D87" s="119"/>
      <c r="E87" s="105">
        <f>SUM(E80:E86)</f>
        <v>1555.8</v>
      </c>
      <c r="F87" s="44"/>
      <c r="G87" s="44"/>
    </row>
    <row r="88" spans="1:7" x14ac:dyDescent="0.2">
      <c r="A88" s="16" t="s">
        <v>4</v>
      </c>
      <c r="B88" s="17" t="s">
        <v>2</v>
      </c>
      <c r="C88" s="141">
        <f>'2.Encargos Sociais'!$C$37*100</f>
        <v>72.231660000000005</v>
      </c>
      <c r="D88" s="18">
        <f>E87</f>
        <v>1555.8</v>
      </c>
      <c r="E88" s="18">
        <f>D88*C88/100</f>
        <v>1123.78016628</v>
      </c>
    </row>
    <row r="89" spans="1:7" s="11" customFormat="1" x14ac:dyDescent="0.2">
      <c r="A89" s="103" t="s">
        <v>271</v>
      </c>
      <c r="B89" s="269"/>
      <c r="C89" s="269"/>
      <c r="D89" s="270"/>
      <c r="E89" s="105">
        <f>E87+E88</f>
        <v>2679.58016628</v>
      </c>
      <c r="F89" s="44"/>
      <c r="G89" s="44"/>
    </row>
    <row r="90" spans="1:7" ht="13.5" thickBot="1" x14ac:dyDescent="0.25">
      <c r="A90" s="16" t="s">
        <v>5</v>
      </c>
      <c r="B90" s="17" t="s">
        <v>6</v>
      </c>
      <c r="C90" s="86">
        <v>1</v>
      </c>
      <c r="D90" s="18">
        <f>E89</f>
        <v>2679.58016628</v>
      </c>
      <c r="E90" s="18">
        <f>C90*D90</f>
        <v>2679.58016628</v>
      </c>
    </row>
    <row r="91" spans="1:7" ht="13.5" thickBot="1" x14ac:dyDescent="0.25">
      <c r="D91" s="124" t="s">
        <v>206</v>
      </c>
      <c r="E91" s="50">
        <f>$B$42</f>
        <v>1</v>
      </c>
      <c r="F91" s="125">
        <f>E90*E91</f>
        <v>2679.58016628</v>
      </c>
    </row>
    <row r="92" spans="1:7" ht="11.25" customHeight="1" x14ac:dyDescent="0.2"/>
    <row r="93" spans="1:7" ht="13.5" thickBot="1" x14ac:dyDescent="0.25">
      <c r="A93" s="9" t="s">
        <v>108</v>
      </c>
    </row>
    <row r="94" spans="1:7" ht="13.5" thickBot="1" x14ac:dyDescent="0.25">
      <c r="A94" s="60" t="s">
        <v>66</v>
      </c>
      <c r="B94" s="61" t="s">
        <v>67</v>
      </c>
      <c r="C94" s="61" t="s">
        <v>42</v>
      </c>
      <c r="D94" s="62" t="s">
        <v>252</v>
      </c>
      <c r="E94" s="62" t="s">
        <v>68</v>
      </c>
      <c r="F94" s="63" t="s">
        <v>69</v>
      </c>
    </row>
    <row r="95" spans="1:7" x14ac:dyDescent="0.2">
      <c r="A95" s="307" t="s">
        <v>307</v>
      </c>
      <c r="B95" s="14" t="s">
        <v>8</v>
      </c>
      <c r="C95" s="14">
        <v>0</v>
      </c>
      <c r="D95" s="15">
        <f>D80</f>
        <v>1555.8</v>
      </c>
      <c r="E95" s="15">
        <f>C95*D95</f>
        <v>0</v>
      </c>
    </row>
    <row r="96" spans="1:7" x14ac:dyDescent="0.2">
      <c r="A96" s="307" t="s">
        <v>308</v>
      </c>
      <c r="B96" s="14" t="s">
        <v>8</v>
      </c>
      <c r="C96" s="14">
        <v>1</v>
      </c>
      <c r="D96" s="18">
        <f>D81</f>
        <v>1045</v>
      </c>
      <c r="E96" s="18"/>
    </row>
    <row r="97" spans="1:7" x14ac:dyDescent="0.2">
      <c r="A97" s="16" t="s">
        <v>7</v>
      </c>
      <c r="B97" s="17" t="s">
        <v>104</v>
      </c>
      <c r="C97" s="88"/>
      <c r="D97" s="16"/>
      <c r="E97" s="16"/>
    </row>
    <row r="98" spans="1:7" x14ac:dyDescent="0.2">
      <c r="A98" s="16"/>
      <c r="B98" s="17" t="s">
        <v>109</v>
      </c>
      <c r="C98" s="18">
        <f>C97*8/7</f>
        <v>0</v>
      </c>
      <c r="D98" s="18">
        <f>D95/220*0.2</f>
        <v>1.4143636363636363</v>
      </c>
      <c r="E98" s="18">
        <f>C97*D98</f>
        <v>0</v>
      </c>
    </row>
    <row r="99" spans="1:7" x14ac:dyDescent="0.2">
      <c r="A99" s="16" t="s">
        <v>36</v>
      </c>
      <c r="B99" s="17" t="s">
        <v>0</v>
      </c>
      <c r="C99" s="88"/>
      <c r="D99" s="18">
        <f>D95/220*2</f>
        <v>14.143636363636363</v>
      </c>
      <c r="E99" s="18">
        <f>C99*D99</f>
        <v>0</v>
      </c>
      <c r="G99" s="10" t="s">
        <v>267</v>
      </c>
    </row>
    <row r="100" spans="1:7" x14ac:dyDescent="0.2">
      <c r="A100" s="16" t="s">
        <v>105</v>
      </c>
      <c r="B100" s="17" t="s">
        <v>104</v>
      </c>
      <c r="C100" s="88"/>
      <c r="D100" s="18"/>
      <c r="E100" s="18"/>
      <c r="G100" s="10" t="s">
        <v>268</v>
      </c>
    </row>
    <row r="101" spans="1:7" x14ac:dyDescent="0.2">
      <c r="A101" s="16"/>
      <c r="B101" s="17" t="s">
        <v>109</v>
      </c>
      <c r="C101" s="18">
        <f>C100*8/7</f>
        <v>0</v>
      </c>
      <c r="D101" s="18">
        <f>D95/220*2*1.2</f>
        <v>16.972363636363635</v>
      </c>
      <c r="E101" s="18">
        <f>C101*D101</f>
        <v>0</v>
      </c>
      <c r="G101" s="10" t="s">
        <v>268</v>
      </c>
    </row>
    <row r="102" spans="1:7" x14ac:dyDescent="0.2">
      <c r="A102" s="16" t="s">
        <v>37</v>
      </c>
      <c r="B102" s="17" t="s">
        <v>0</v>
      </c>
      <c r="C102" s="88"/>
      <c r="D102" s="18">
        <f>D95/220*1.5</f>
        <v>10.607727272727272</v>
      </c>
      <c r="E102" s="18">
        <f>C102*D102</f>
        <v>0</v>
      </c>
      <c r="G102" s="10" t="s">
        <v>269</v>
      </c>
    </row>
    <row r="103" spans="1:7" x14ac:dyDescent="0.2">
      <c r="A103" s="16" t="s">
        <v>231</v>
      </c>
      <c r="B103" s="17" t="s">
        <v>104</v>
      </c>
      <c r="C103" s="88"/>
      <c r="D103" s="18"/>
      <c r="E103" s="18"/>
      <c r="G103" s="10" t="s">
        <v>270</v>
      </c>
    </row>
    <row r="104" spans="1:7" x14ac:dyDescent="0.2">
      <c r="A104" s="16"/>
      <c r="B104" s="17" t="s">
        <v>109</v>
      </c>
      <c r="C104" s="18">
        <f>C103*8/7</f>
        <v>0</v>
      </c>
      <c r="D104" s="18">
        <f>D95/220*1.5*1.2</f>
        <v>12.729272727272727</v>
      </c>
      <c r="E104" s="18">
        <f>C104*D104</f>
        <v>0</v>
      </c>
      <c r="G104" s="10" t="s">
        <v>270</v>
      </c>
    </row>
    <row r="105" spans="1:7" ht="13.15" customHeight="1" x14ac:dyDescent="0.2">
      <c r="A105" s="16" t="s">
        <v>233</v>
      </c>
      <c r="B105" s="17" t="s">
        <v>35</v>
      </c>
      <c r="D105" s="18">
        <f>63/302*(SUM(E99:E104))</f>
        <v>0</v>
      </c>
      <c r="E105" s="18">
        <f>D105</f>
        <v>0</v>
      </c>
      <c r="G105" s="10" t="s">
        <v>232</v>
      </c>
    </row>
    <row r="106" spans="1:7" x14ac:dyDescent="0.2">
      <c r="A106" s="16" t="s">
        <v>230</v>
      </c>
      <c r="B106" s="17"/>
      <c r="C106" s="90"/>
      <c r="D106" s="18"/>
      <c r="E106" s="18"/>
    </row>
    <row r="107" spans="1:7" x14ac:dyDescent="0.2">
      <c r="A107" s="16" t="s">
        <v>1</v>
      </c>
      <c r="B107" s="17" t="s">
        <v>2</v>
      </c>
      <c r="C107" s="83">
        <f>+C86</f>
        <v>20</v>
      </c>
      <c r="D107" s="83">
        <f>IF(C106=2,SUM(E95:E105),IF(C106=1,SUM(E95:E105)*D96/D95,0))</f>
        <v>0</v>
      </c>
      <c r="E107" s="18">
        <f>C107*D107/100</f>
        <v>0</v>
      </c>
    </row>
    <row r="108" spans="1:7" s="11" customFormat="1" x14ac:dyDescent="0.2">
      <c r="A108" s="117" t="s">
        <v>3</v>
      </c>
      <c r="B108" s="118"/>
      <c r="C108" s="118"/>
      <c r="D108" s="119"/>
      <c r="E108" s="120">
        <f>SUM(E95:E107)</f>
        <v>0</v>
      </c>
      <c r="F108" s="44"/>
      <c r="G108" s="44"/>
    </row>
    <row r="109" spans="1:7" x14ac:dyDescent="0.2">
      <c r="A109" s="16" t="s">
        <v>4</v>
      </c>
      <c r="B109" s="17" t="s">
        <v>2</v>
      </c>
      <c r="C109" s="141">
        <f>'2.Encargos Sociais'!$C$37*100</f>
        <v>72.231660000000005</v>
      </c>
      <c r="D109" s="18">
        <f>E108</f>
        <v>0</v>
      </c>
      <c r="E109" s="18">
        <f>D109*C109/100</f>
        <v>0</v>
      </c>
    </row>
    <row r="110" spans="1:7" s="11" customFormat="1" x14ac:dyDescent="0.2">
      <c r="A110" s="117" t="s">
        <v>271</v>
      </c>
      <c r="B110" s="118"/>
      <c r="C110" s="118"/>
      <c r="D110" s="119"/>
      <c r="E110" s="120">
        <f>E108+E109</f>
        <v>0</v>
      </c>
      <c r="F110" s="44"/>
      <c r="G110" s="44"/>
    </row>
    <row r="111" spans="1:7" ht="13.5" thickBot="1" x14ac:dyDescent="0.25">
      <c r="A111" s="16" t="s">
        <v>5</v>
      </c>
      <c r="B111" s="17" t="s">
        <v>6</v>
      </c>
      <c r="C111" s="86"/>
      <c r="D111" s="18">
        <f>E110</f>
        <v>0</v>
      </c>
      <c r="E111" s="18">
        <f>C111*D111</f>
        <v>0</v>
      </c>
    </row>
    <row r="112" spans="1:7" ht="13.5" thickBot="1" x14ac:dyDescent="0.25">
      <c r="D112" s="124" t="s">
        <v>206</v>
      </c>
      <c r="E112" s="50">
        <f>$B$42</f>
        <v>1</v>
      </c>
      <c r="F112" s="125">
        <f>E111*E112</f>
        <v>0</v>
      </c>
    </row>
    <row r="113" spans="1:7" ht="11.25" customHeight="1" x14ac:dyDescent="0.2">
      <c r="G113" s="9"/>
    </row>
    <row r="114" spans="1:7" ht="13.5" thickBot="1" x14ac:dyDescent="0.25">
      <c r="A114" s="9" t="s">
        <v>110</v>
      </c>
      <c r="B114" s="93"/>
      <c r="D114" s="9"/>
      <c r="E114" s="9"/>
      <c r="G114" s="9"/>
    </row>
    <row r="115" spans="1:7" ht="13.5" thickBot="1" x14ac:dyDescent="0.25">
      <c r="A115" s="60" t="s">
        <v>66</v>
      </c>
      <c r="B115" s="61" t="s">
        <v>67</v>
      </c>
      <c r="C115" s="61" t="s">
        <v>42</v>
      </c>
      <c r="D115" s="62" t="s">
        <v>252</v>
      </c>
      <c r="E115" s="62" t="s">
        <v>68</v>
      </c>
      <c r="F115" s="63" t="s">
        <v>69</v>
      </c>
      <c r="G115" s="9"/>
    </row>
    <row r="116" spans="1:7" x14ac:dyDescent="0.2">
      <c r="A116" s="16" t="s">
        <v>96</v>
      </c>
      <c r="B116" s="17" t="s">
        <v>35</v>
      </c>
      <c r="C116" s="94">
        <v>0</v>
      </c>
      <c r="D116" s="92"/>
      <c r="E116" s="18"/>
      <c r="G116" s="9"/>
    </row>
    <row r="117" spans="1:7" x14ac:dyDescent="0.2">
      <c r="A117" s="16" t="s">
        <v>97</v>
      </c>
      <c r="B117" s="17" t="s">
        <v>98</v>
      </c>
      <c r="C117" s="91"/>
      <c r="D117" s="18"/>
      <c r="E117" s="18"/>
      <c r="G117" s="9"/>
    </row>
    <row r="118" spans="1:7" x14ac:dyDescent="0.2">
      <c r="A118" s="16" t="s">
        <v>77</v>
      </c>
      <c r="B118" s="17" t="s">
        <v>9</v>
      </c>
      <c r="C118" s="37">
        <f>$C$117*2*(C56+C75)</f>
        <v>0</v>
      </c>
      <c r="D118" s="15" t="str">
        <f>IFERROR((($C$117*2*$D$116)-(E48*0.06*C117/26))/($C$117*2),"-")</f>
        <v>-</v>
      </c>
      <c r="E118" s="18" t="str">
        <f>IFERROR(C118*D118,"-")</f>
        <v>-</v>
      </c>
      <c r="G118" s="9"/>
    </row>
    <row r="119" spans="1:7" ht="13.5" thickBot="1" x14ac:dyDescent="0.25">
      <c r="A119" s="13" t="s">
        <v>46</v>
      </c>
      <c r="B119" s="14" t="s">
        <v>9</v>
      </c>
      <c r="C119" s="37">
        <f>$C$117*2*(C90+C111)</f>
        <v>0</v>
      </c>
      <c r="D119" s="15" t="str">
        <f>IFERROR((($C$117*2*$D$116)-(E80*0.06*C117/26))/($C$117*2),"-")</f>
        <v>-</v>
      </c>
      <c r="E119" s="15" t="str">
        <f>IFERROR(C119*D119,"-")</f>
        <v>-</v>
      </c>
      <c r="G119" s="9"/>
    </row>
    <row r="120" spans="1:7" ht="13.5" thickBot="1" x14ac:dyDescent="0.25">
      <c r="F120" s="22">
        <f>SUM(E118:E119)</f>
        <v>0</v>
      </c>
      <c r="G120" s="9"/>
    </row>
    <row r="121" spans="1:7" ht="11.25" customHeight="1" x14ac:dyDescent="0.2">
      <c r="G121" s="9"/>
    </row>
    <row r="122" spans="1:7" ht="13.5" thickBot="1" x14ac:dyDescent="0.25">
      <c r="A122" s="9" t="s">
        <v>133</v>
      </c>
      <c r="F122" s="23"/>
      <c r="G122" s="9"/>
    </row>
    <row r="123" spans="1:7" ht="13.5" thickBot="1" x14ac:dyDescent="0.25">
      <c r="A123" s="60" t="s">
        <v>66</v>
      </c>
      <c r="B123" s="61" t="s">
        <v>67</v>
      </c>
      <c r="C123" s="61" t="s">
        <v>42</v>
      </c>
      <c r="D123" s="62" t="s">
        <v>252</v>
      </c>
      <c r="E123" s="62" t="s">
        <v>68</v>
      </c>
      <c r="F123" s="63" t="s">
        <v>69</v>
      </c>
      <c r="G123" s="9"/>
    </row>
    <row r="124" spans="1:7" x14ac:dyDescent="0.2">
      <c r="A124" s="16" t="str">
        <f>+A118</f>
        <v>Coletor</v>
      </c>
      <c r="B124" s="17" t="s">
        <v>10</v>
      </c>
      <c r="C124" s="102">
        <v>24</v>
      </c>
      <c r="D124" s="95">
        <v>17.41</v>
      </c>
      <c r="E124" s="50">
        <f>C124*D124</f>
        <v>417.84000000000003</v>
      </c>
      <c r="F124" s="23"/>
      <c r="G124" s="9"/>
    </row>
    <row r="125" spans="1:7" ht="13.5" thickBot="1" x14ac:dyDescent="0.25">
      <c r="A125" s="16" t="str">
        <f>+A119</f>
        <v>Motorista</v>
      </c>
      <c r="B125" s="17" t="s">
        <v>10</v>
      </c>
      <c r="C125" s="102">
        <v>12</v>
      </c>
      <c r="D125" s="95">
        <v>17.41</v>
      </c>
      <c r="E125" s="50">
        <f>C125*D125</f>
        <v>208.92000000000002</v>
      </c>
      <c r="F125" s="23"/>
      <c r="G125" s="9"/>
    </row>
    <row r="126" spans="1:7" ht="13.5" thickBot="1" x14ac:dyDescent="0.25">
      <c r="F126" s="22">
        <f>SUM(E124:E125)</f>
        <v>626.76</v>
      </c>
      <c r="G126" s="9"/>
    </row>
    <row r="127" spans="1:7" x14ac:dyDescent="0.2">
      <c r="G127" s="9"/>
    </row>
    <row r="128" spans="1:7" ht="13.5" thickBot="1" x14ac:dyDescent="0.25">
      <c r="A128" s="9" t="s">
        <v>134</v>
      </c>
      <c r="F128" s="23"/>
      <c r="G128" s="9"/>
    </row>
    <row r="129" spans="1:7" ht="13.5" thickBot="1" x14ac:dyDescent="0.25">
      <c r="A129" s="60" t="s">
        <v>66</v>
      </c>
      <c r="B129" s="61" t="s">
        <v>67</v>
      </c>
      <c r="C129" s="61" t="s">
        <v>42</v>
      </c>
      <c r="D129" s="62" t="s">
        <v>252</v>
      </c>
      <c r="E129" s="62" t="s">
        <v>68</v>
      </c>
      <c r="F129" s="63" t="s">
        <v>69</v>
      </c>
      <c r="G129" s="9"/>
    </row>
    <row r="130" spans="1:7" x14ac:dyDescent="0.2">
      <c r="A130" s="16" t="str">
        <f>+A124</f>
        <v>Coletor</v>
      </c>
      <c r="B130" s="17" t="s">
        <v>10</v>
      </c>
      <c r="C130" s="102">
        <f>E32+E33</f>
        <v>2</v>
      </c>
      <c r="D130" s="95"/>
      <c r="E130" s="50">
        <f>C130*D130</f>
        <v>0</v>
      </c>
      <c r="F130" s="23"/>
      <c r="G130" s="9"/>
    </row>
    <row r="131" spans="1:7" ht="13.5" thickBot="1" x14ac:dyDescent="0.25">
      <c r="A131" s="16" t="str">
        <f>+A125</f>
        <v>Motorista</v>
      </c>
      <c r="B131" s="17" t="s">
        <v>10</v>
      </c>
      <c r="C131" s="102">
        <f>E34+E35</f>
        <v>1</v>
      </c>
      <c r="D131" s="95"/>
      <c r="E131" s="50">
        <f>C131*D131</f>
        <v>0</v>
      </c>
      <c r="F131" s="23"/>
      <c r="G131" s="9"/>
    </row>
    <row r="132" spans="1:7" ht="13.5" thickBot="1" x14ac:dyDescent="0.25">
      <c r="D132" s="124" t="s">
        <v>206</v>
      </c>
      <c r="E132" s="50">
        <f>$B$42</f>
        <v>1</v>
      </c>
      <c r="F132" s="22">
        <f>SUM(E130:E131)*E132</f>
        <v>0</v>
      </c>
      <c r="G132" s="9"/>
    </row>
    <row r="133" spans="1:7" ht="13.5" thickBot="1" x14ac:dyDescent="0.25">
      <c r="G133" s="9"/>
    </row>
    <row r="134" spans="1:7" ht="13.5" thickBot="1" x14ac:dyDescent="0.25">
      <c r="A134" s="24" t="s">
        <v>99</v>
      </c>
      <c r="B134" s="25"/>
      <c r="C134" s="25"/>
      <c r="D134" s="26"/>
      <c r="E134" s="27"/>
      <c r="F134" s="22">
        <f>F132+F126+F120+F112+F91+F76+F57</f>
        <v>9723.7675998103987</v>
      </c>
      <c r="G134" s="9"/>
    </row>
    <row r="136" spans="1:7" x14ac:dyDescent="0.2">
      <c r="A136" s="11" t="s">
        <v>47</v>
      </c>
      <c r="G136" s="9"/>
    </row>
    <row r="137" spans="1:7" ht="11.25" customHeight="1" x14ac:dyDescent="0.2">
      <c r="G137" s="9"/>
    </row>
    <row r="138" spans="1:7" ht="13.9" customHeight="1" x14ac:dyDescent="0.2">
      <c r="A138" s="9" t="s">
        <v>208</v>
      </c>
      <c r="G138" s="9"/>
    </row>
    <row r="139" spans="1:7" ht="11.25" customHeight="1" thickBot="1" x14ac:dyDescent="0.25">
      <c r="G139" s="9"/>
    </row>
    <row r="140" spans="1:7" ht="27.75" customHeight="1" thickBot="1" x14ac:dyDescent="0.25">
      <c r="A140" s="60" t="s">
        <v>66</v>
      </c>
      <c r="B140" s="61" t="s">
        <v>67</v>
      </c>
      <c r="C140" s="271" t="s">
        <v>273</v>
      </c>
      <c r="D140" s="62" t="s">
        <v>252</v>
      </c>
      <c r="E140" s="62" t="s">
        <v>68</v>
      </c>
      <c r="F140" s="63" t="s">
        <v>69</v>
      </c>
      <c r="G140" s="9"/>
    </row>
    <row r="141" spans="1:7" x14ac:dyDescent="0.2">
      <c r="A141" s="13" t="s">
        <v>70</v>
      </c>
      <c r="B141" s="14" t="s">
        <v>10</v>
      </c>
      <c r="C141" s="101"/>
      <c r="D141" s="87"/>
      <c r="E141" s="15">
        <f>IFERROR(D141/C141,0)</f>
        <v>0</v>
      </c>
      <c r="G141" s="9"/>
    </row>
    <row r="142" spans="1:7" ht="13.15" customHeight="1" x14ac:dyDescent="0.2">
      <c r="A142" s="16" t="s">
        <v>30</v>
      </c>
      <c r="B142" s="17" t="s">
        <v>10</v>
      </c>
      <c r="C142" s="101">
        <v>2</v>
      </c>
      <c r="D142" s="87">
        <v>25</v>
      </c>
      <c r="E142" s="15">
        <f t="shared" ref="E142:E150" si="1">IFERROR(D142/C142,0)</f>
        <v>12.5</v>
      </c>
      <c r="G142" s="9"/>
    </row>
    <row r="143" spans="1:7" x14ac:dyDescent="0.2">
      <c r="A143" s="16" t="s">
        <v>31</v>
      </c>
      <c r="B143" s="17" t="s">
        <v>10</v>
      </c>
      <c r="C143" s="101">
        <v>1</v>
      </c>
      <c r="D143" s="87">
        <v>20</v>
      </c>
      <c r="E143" s="15">
        <f t="shared" si="1"/>
        <v>20</v>
      </c>
      <c r="G143" s="9"/>
    </row>
    <row r="144" spans="1:7" ht="13.15" customHeight="1" x14ac:dyDescent="0.2">
      <c r="A144" s="16" t="s">
        <v>32</v>
      </c>
      <c r="B144" s="17" t="s">
        <v>10</v>
      </c>
      <c r="C144" s="101">
        <v>3</v>
      </c>
      <c r="D144" s="87">
        <v>12</v>
      </c>
      <c r="E144" s="15">
        <f t="shared" si="1"/>
        <v>4</v>
      </c>
      <c r="G144" s="9"/>
    </row>
    <row r="145" spans="1:7" ht="13.9" customHeight="1" x14ac:dyDescent="0.2">
      <c r="A145" s="16" t="s">
        <v>72</v>
      </c>
      <c r="B145" s="17" t="s">
        <v>50</v>
      </c>
      <c r="C145" s="101">
        <v>2</v>
      </c>
      <c r="D145" s="87">
        <v>40</v>
      </c>
      <c r="E145" s="15">
        <f t="shared" si="1"/>
        <v>20</v>
      </c>
      <c r="G145" s="9"/>
    </row>
    <row r="146" spans="1:7" ht="13.15" customHeight="1" x14ac:dyDescent="0.2">
      <c r="A146" s="16" t="s">
        <v>100</v>
      </c>
      <c r="B146" s="17" t="s">
        <v>50</v>
      </c>
      <c r="C146" s="101">
        <v>2</v>
      </c>
      <c r="D146" s="87">
        <v>10</v>
      </c>
      <c r="E146" s="15">
        <f t="shared" si="1"/>
        <v>5</v>
      </c>
    </row>
    <row r="147" spans="1:7" x14ac:dyDescent="0.2">
      <c r="A147" s="16" t="s">
        <v>71</v>
      </c>
      <c r="B147" s="17" t="s">
        <v>10</v>
      </c>
      <c r="C147" s="101">
        <v>6</v>
      </c>
      <c r="D147" s="87">
        <v>52</v>
      </c>
      <c r="E147" s="15">
        <f t="shared" si="1"/>
        <v>8.6666666666666661</v>
      </c>
    </row>
    <row r="148" spans="1:7" s="1" customFormat="1" x14ac:dyDescent="0.2">
      <c r="A148" s="2" t="s">
        <v>11</v>
      </c>
      <c r="B148" s="3" t="s">
        <v>10</v>
      </c>
      <c r="C148" s="101"/>
      <c r="D148" s="87"/>
      <c r="E148" s="15">
        <f t="shared" si="1"/>
        <v>0</v>
      </c>
      <c r="F148" s="38"/>
      <c r="G148" s="38"/>
    </row>
    <row r="149" spans="1:7" x14ac:dyDescent="0.2">
      <c r="A149" s="16" t="s">
        <v>33</v>
      </c>
      <c r="B149" s="17" t="s">
        <v>50</v>
      </c>
      <c r="C149" s="101">
        <v>1</v>
      </c>
      <c r="D149" s="87">
        <v>15</v>
      </c>
      <c r="E149" s="15">
        <f t="shared" si="1"/>
        <v>15</v>
      </c>
    </row>
    <row r="150" spans="1:7" ht="13.15" customHeight="1" x14ac:dyDescent="0.2">
      <c r="A150" s="16" t="s">
        <v>65</v>
      </c>
      <c r="B150" s="17" t="s">
        <v>51</v>
      </c>
      <c r="C150" s="101">
        <v>1</v>
      </c>
      <c r="D150" s="87">
        <v>20</v>
      </c>
      <c r="E150" s="15">
        <f t="shared" si="1"/>
        <v>20</v>
      </c>
    </row>
    <row r="151" spans="1:7" x14ac:dyDescent="0.2">
      <c r="A151" s="16" t="s">
        <v>209</v>
      </c>
      <c r="B151" s="17" t="s">
        <v>135</v>
      </c>
      <c r="C151" s="122">
        <v>1</v>
      </c>
      <c r="D151" s="87"/>
      <c r="E151" s="18">
        <f t="shared" ref="E151:E152" si="2">C151*D151</f>
        <v>0</v>
      </c>
    </row>
    <row r="152" spans="1:7" ht="13.5" thickBot="1" x14ac:dyDescent="0.25">
      <c r="A152" s="16" t="s">
        <v>5</v>
      </c>
      <c r="B152" s="17" t="s">
        <v>6</v>
      </c>
      <c r="C152" s="69">
        <f>E32+E33</f>
        <v>2</v>
      </c>
      <c r="D152" s="18">
        <f>+SUM(E141:E151)</f>
        <v>105.16666666666667</v>
      </c>
      <c r="E152" s="18">
        <f t="shared" si="2"/>
        <v>210.33333333333334</v>
      </c>
    </row>
    <row r="153" spans="1:7" ht="13.5" thickBot="1" x14ac:dyDescent="0.25">
      <c r="D153" s="124" t="s">
        <v>206</v>
      </c>
      <c r="E153" s="50">
        <f>$B$42</f>
        <v>1</v>
      </c>
      <c r="F153" s="125">
        <f>E152*E153</f>
        <v>210.33333333333334</v>
      </c>
    </row>
    <row r="154" spans="1:7" ht="11.25" customHeight="1" x14ac:dyDescent="0.2"/>
    <row r="155" spans="1:7" ht="13.9" customHeight="1" x14ac:dyDescent="0.2">
      <c r="A155" s="9" t="s">
        <v>210</v>
      </c>
    </row>
    <row r="156" spans="1:7" ht="11.25" customHeight="1" thickBot="1" x14ac:dyDescent="0.25"/>
    <row r="157" spans="1:7" ht="24.75" thickBot="1" x14ac:dyDescent="0.25">
      <c r="A157" s="60" t="s">
        <v>66</v>
      </c>
      <c r="B157" s="61" t="s">
        <v>67</v>
      </c>
      <c r="C157" s="271" t="s">
        <v>273</v>
      </c>
      <c r="D157" s="62" t="s">
        <v>252</v>
      </c>
      <c r="E157" s="62" t="s">
        <v>68</v>
      </c>
      <c r="F157" s="63" t="s">
        <v>69</v>
      </c>
    </row>
    <row r="158" spans="1:7" x14ac:dyDescent="0.2">
      <c r="A158" s="13" t="s">
        <v>70</v>
      </c>
      <c r="B158" s="14" t="s">
        <v>10</v>
      </c>
      <c r="C158" s="101"/>
      <c r="D158" s="15">
        <f>+D141</f>
        <v>0</v>
      </c>
      <c r="E158" s="15">
        <f>IFERROR(D158/C158,0)</f>
        <v>0</v>
      </c>
    </row>
    <row r="159" spans="1:7" x14ac:dyDescent="0.2">
      <c r="A159" s="16" t="s">
        <v>30</v>
      </c>
      <c r="B159" s="17" t="s">
        <v>10</v>
      </c>
      <c r="C159" s="101">
        <v>3</v>
      </c>
      <c r="D159" s="18">
        <f>+D142</f>
        <v>25</v>
      </c>
      <c r="E159" s="15">
        <f t="shared" ref="E159:E163" si="3">IFERROR(D159/C159,0)</f>
        <v>8.3333333333333339</v>
      </c>
    </row>
    <row r="160" spans="1:7" x14ac:dyDescent="0.2">
      <c r="A160" s="16" t="s">
        <v>31</v>
      </c>
      <c r="B160" s="17" t="s">
        <v>10</v>
      </c>
      <c r="C160" s="101">
        <v>2</v>
      </c>
      <c r="D160" s="18">
        <f>+D143</f>
        <v>20</v>
      </c>
      <c r="E160" s="15">
        <f t="shared" si="3"/>
        <v>10</v>
      </c>
    </row>
    <row r="161" spans="1:7" x14ac:dyDescent="0.2">
      <c r="A161" s="16" t="s">
        <v>72</v>
      </c>
      <c r="B161" s="17" t="s">
        <v>50</v>
      </c>
      <c r="C161" s="101">
        <v>3</v>
      </c>
      <c r="D161" s="18">
        <f>+D145</f>
        <v>40</v>
      </c>
      <c r="E161" s="15">
        <f t="shared" si="3"/>
        <v>13.333333333333334</v>
      </c>
    </row>
    <row r="162" spans="1:7" x14ac:dyDescent="0.2">
      <c r="A162" s="16" t="s">
        <v>71</v>
      </c>
      <c r="B162" s="17" t="s">
        <v>10</v>
      </c>
      <c r="C162" s="101">
        <v>6</v>
      </c>
      <c r="D162" s="18">
        <f>+D147</f>
        <v>52</v>
      </c>
      <c r="E162" s="15">
        <f t="shared" si="3"/>
        <v>8.6666666666666661</v>
      </c>
      <c r="G162" s="9"/>
    </row>
    <row r="163" spans="1:7" x14ac:dyDescent="0.2">
      <c r="A163" s="16" t="s">
        <v>65</v>
      </c>
      <c r="B163" s="17" t="s">
        <v>51</v>
      </c>
      <c r="C163" s="101">
        <v>3</v>
      </c>
      <c r="D163" s="18">
        <f>+D150</f>
        <v>20</v>
      </c>
      <c r="E163" s="15">
        <f t="shared" si="3"/>
        <v>6.666666666666667</v>
      </c>
      <c r="G163" s="9"/>
    </row>
    <row r="164" spans="1:7" x14ac:dyDescent="0.2">
      <c r="A164" s="16" t="s">
        <v>209</v>
      </c>
      <c r="B164" s="17" t="s">
        <v>135</v>
      </c>
      <c r="C164" s="122">
        <v>1</v>
      </c>
      <c r="D164" s="87"/>
      <c r="E164" s="18">
        <f t="shared" ref="E164:E165" si="4">C164*D164</f>
        <v>0</v>
      </c>
      <c r="G164" s="9"/>
    </row>
    <row r="165" spans="1:7" ht="13.5" thickBot="1" x14ac:dyDescent="0.25">
      <c r="A165" s="16" t="s">
        <v>5</v>
      </c>
      <c r="B165" s="17" t="s">
        <v>6</v>
      </c>
      <c r="C165" s="69">
        <f>E34+E35</f>
        <v>1</v>
      </c>
      <c r="D165" s="18">
        <f>+SUM(E158:E164)</f>
        <v>47</v>
      </c>
      <c r="E165" s="18">
        <f t="shared" si="4"/>
        <v>47</v>
      </c>
      <c r="G165" s="9"/>
    </row>
    <row r="166" spans="1:7" ht="13.5" thickBot="1" x14ac:dyDescent="0.25">
      <c r="D166" s="124" t="s">
        <v>206</v>
      </c>
      <c r="E166" s="50">
        <f>$B$42</f>
        <v>1</v>
      </c>
      <c r="F166" s="125">
        <f>E165*E166</f>
        <v>47</v>
      </c>
      <c r="G166" s="9"/>
    </row>
    <row r="167" spans="1:7" ht="11.25" customHeight="1" thickBot="1" x14ac:dyDescent="0.25">
      <c r="G167" s="9"/>
    </row>
    <row r="168" spans="1:7" ht="13.5" thickBot="1" x14ac:dyDescent="0.25">
      <c r="A168" s="24" t="s">
        <v>211</v>
      </c>
      <c r="B168" s="28"/>
      <c r="C168" s="28"/>
      <c r="D168" s="29"/>
      <c r="E168" s="30"/>
      <c r="F168" s="21">
        <f>+F153+F166</f>
        <v>257.33333333333337</v>
      </c>
      <c r="G168" s="9"/>
    </row>
    <row r="169" spans="1:7" ht="11.25" customHeight="1" x14ac:dyDescent="0.2">
      <c r="G169" s="9"/>
    </row>
    <row r="170" spans="1:7" x14ac:dyDescent="0.2">
      <c r="A170" s="11" t="s">
        <v>56</v>
      </c>
      <c r="G170" s="9"/>
    </row>
    <row r="171" spans="1:7" ht="11.25" customHeight="1" x14ac:dyDescent="0.2">
      <c r="B171" s="107"/>
      <c r="G171" s="9"/>
    </row>
    <row r="172" spans="1:7" x14ac:dyDescent="0.2">
      <c r="A172" s="7" t="s">
        <v>316</v>
      </c>
      <c r="G172" s="9"/>
    </row>
    <row r="173" spans="1:7" ht="11.25" customHeight="1" x14ac:dyDescent="0.2">
      <c r="G173" s="9"/>
    </row>
    <row r="174" spans="1:7" ht="13.5" thickBot="1" x14ac:dyDescent="0.25">
      <c r="A174" s="107" t="s">
        <v>48</v>
      </c>
      <c r="G174" s="9"/>
    </row>
    <row r="175" spans="1:7" ht="13.5" thickBot="1" x14ac:dyDescent="0.25">
      <c r="A175" s="60" t="s">
        <v>66</v>
      </c>
      <c r="B175" s="61" t="s">
        <v>67</v>
      </c>
      <c r="C175" s="61" t="s">
        <v>42</v>
      </c>
      <c r="D175" s="62" t="s">
        <v>252</v>
      </c>
      <c r="E175" s="62" t="s">
        <v>68</v>
      </c>
      <c r="F175" s="63" t="s">
        <v>69</v>
      </c>
      <c r="G175" s="9"/>
    </row>
    <row r="176" spans="1:7" x14ac:dyDescent="0.2">
      <c r="A176" s="13" t="s">
        <v>117</v>
      </c>
      <c r="B176" s="14" t="s">
        <v>10</v>
      </c>
      <c r="C176" s="277">
        <v>1</v>
      </c>
      <c r="D176" s="87">
        <v>200000</v>
      </c>
      <c r="E176" s="15">
        <v>200000</v>
      </c>
      <c r="G176" s="9"/>
    </row>
    <row r="177" spans="1:10" x14ac:dyDescent="0.2">
      <c r="A177" s="16" t="s">
        <v>111</v>
      </c>
      <c r="B177" s="17" t="s">
        <v>112</v>
      </c>
      <c r="C177" s="86">
        <v>5</v>
      </c>
      <c r="D177" s="83"/>
      <c r="E177" s="18"/>
      <c r="G177" s="9"/>
    </row>
    <row r="178" spans="1:10" x14ac:dyDescent="0.2">
      <c r="A178" s="16" t="s">
        <v>224</v>
      </c>
      <c r="B178" s="17" t="s">
        <v>112</v>
      </c>
      <c r="C178" s="86">
        <v>0</v>
      </c>
      <c r="D178" s="18"/>
      <c r="E178" s="18"/>
      <c r="F178" s="20"/>
      <c r="I178" s="85"/>
      <c r="J178" s="85"/>
    </row>
    <row r="179" spans="1:10" x14ac:dyDescent="0.2">
      <c r="A179" s="16" t="s">
        <v>115</v>
      </c>
      <c r="B179" s="17" t="s">
        <v>2</v>
      </c>
      <c r="C179" s="141">
        <f>IFERROR(VLOOKUP(C177,'5. Depreciação'!A3:B17,2,FALSE),0)</f>
        <v>55.679999999999993</v>
      </c>
      <c r="D179" s="18">
        <f>E176</f>
        <v>200000</v>
      </c>
      <c r="E179" s="18">
        <f>C179*D179/100</f>
        <v>111359.99999999999</v>
      </c>
    </row>
    <row r="180" spans="1:10" ht="13.5" thickBot="1" x14ac:dyDescent="0.25">
      <c r="A180" s="280" t="s">
        <v>52</v>
      </c>
      <c r="B180" s="281" t="s">
        <v>8</v>
      </c>
      <c r="C180" s="281">
        <f>C177*12</f>
        <v>60</v>
      </c>
      <c r="D180" s="282">
        <f>IF(C178&lt;=C177,E179,0)</f>
        <v>111359.99999999999</v>
      </c>
      <c r="E180" s="282">
        <f>IFERROR(D180/C180,0)</f>
        <v>1855.9999999999998</v>
      </c>
    </row>
    <row r="181" spans="1:10" ht="13.5" thickTop="1" x14ac:dyDescent="0.2">
      <c r="A181" s="13" t="s">
        <v>116</v>
      </c>
      <c r="B181" s="14" t="s">
        <v>10</v>
      </c>
      <c r="C181" s="14">
        <f>C176</f>
        <v>1</v>
      </c>
      <c r="D181" s="87">
        <v>90000</v>
      </c>
      <c r="E181" s="15">
        <f>C181*D181</f>
        <v>90000</v>
      </c>
      <c r="G181" s="9"/>
    </row>
    <row r="182" spans="1:10" x14ac:dyDescent="0.2">
      <c r="A182" s="16" t="s">
        <v>113</v>
      </c>
      <c r="B182" s="17" t="s">
        <v>112</v>
      </c>
      <c r="C182" s="86">
        <v>5</v>
      </c>
      <c r="D182" s="18"/>
      <c r="E182" s="18"/>
    </row>
    <row r="183" spans="1:10" x14ac:dyDescent="0.2">
      <c r="A183" s="16" t="s">
        <v>225</v>
      </c>
      <c r="B183" s="17" t="s">
        <v>112</v>
      </c>
      <c r="C183" s="86">
        <v>0</v>
      </c>
      <c r="D183" s="18"/>
      <c r="E183" s="18"/>
      <c r="F183" s="20"/>
      <c r="I183" s="85"/>
      <c r="J183" s="85"/>
    </row>
    <row r="184" spans="1:10" x14ac:dyDescent="0.2">
      <c r="A184" s="16" t="s">
        <v>114</v>
      </c>
      <c r="B184" s="17" t="s">
        <v>2</v>
      </c>
      <c r="C184" s="142">
        <f>IFERROR(VLOOKUP(C182,'5. Depreciação'!A3:B17,2,FALSE),0)</f>
        <v>55.679999999999993</v>
      </c>
      <c r="D184" s="18">
        <f>E181</f>
        <v>90000</v>
      </c>
      <c r="E184" s="18">
        <f>C184*D184/100</f>
        <v>50111.999999999993</v>
      </c>
    </row>
    <row r="185" spans="1:10" x14ac:dyDescent="0.2">
      <c r="A185" s="103" t="s">
        <v>118</v>
      </c>
      <c r="B185" s="104" t="s">
        <v>8</v>
      </c>
      <c r="C185" s="104">
        <f>C182*12</f>
        <v>60</v>
      </c>
      <c r="D185" s="105">
        <f>IF(C183&lt;=C182,E184,0)</f>
        <v>50111.999999999993</v>
      </c>
      <c r="E185" s="105">
        <f>IFERROR(D185/C185,0)</f>
        <v>835.19999999999993</v>
      </c>
    </row>
    <row r="186" spans="1:10" x14ac:dyDescent="0.2">
      <c r="A186" s="117" t="s">
        <v>276</v>
      </c>
      <c r="B186" s="118"/>
      <c r="C186" s="118"/>
      <c r="D186" s="119"/>
      <c r="E186" s="120">
        <f>E180+E185</f>
        <v>2691.2</v>
      </c>
    </row>
    <row r="187" spans="1:10" ht="13.5" thickBot="1" x14ac:dyDescent="0.25">
      <c r="A187" s="103" t="s">
        <v>277</v>
      </c>
      <c r="B187" s="104" t="s">
        <v>10</v>
      </c>
      <c r="C187" s="86">
        <v>1</v>
      </c>
      <c r="D187" s="105">
        <f>E186</f>
        <v>2691.2</v>
      </c>
      <c r="E187" s="120">
        <f>C187*D187</f>
        <v>2691.2</v>
      </c>
    </row>
    <row r="188" spans="1:10" ht="13.5" thickBot="1" x14ac:dyDescent="0.25">
      <c r="A188" s="276"/>
      <c r="B188" s="276"/>
      <c r="C188" s="276"/>
      <c r="D188" s="124" t="s">
        <v>206</v>
      </c>
      <c r="E188" s="50">
        <f>$B$42</f>
        <v>1</v>
      </c>
      <c r="F188" s="21">
        <f>E187*E188</f>
        <v>2691.2</v>
      </c>
    </row>
    <row r="189" spans="1:10" ht="11.25" customHeight="1" x14ac:dyDescent="0.2"/>
    <row r="190" spans="1:10" ht="13.5" thickBot="1" x14ac:dyDescent="0.25">
      <c r="A190" s="107" t="s">
        <v>123</v>
      </c>
    </row>
    <row r="191" spans="1:10" ht="13.5" thickBot="1" x14ac:dyDescent="0.25">
      <c r="A191" s="109" t="s">
        <v>66</v>
      </c>
      <c r="B191" s="110" t="s">
        <v>67</v>
      </c>
      <c r="C191" s="110" t="s">
        <v>42</v>
      </c>
      <c r="D191" s="62" t="s">
        <v>252</v>
      </c>
      <c r="E191" s="111" t="s">
        <v>68</v>
      </c>
      <c r="F191" s="63" t="s">
        <v>69</v>
      </c>
      <c r="I191" s="85"/>
      <c r="J191" s="85"/>
    </row>
    <row r="192" spans="1:10" x14ac:dyDescent="0.2">
      <c r="A192" s="16" t="s">
        <v>121</v>
      </c>
      <c r="B192" s="17" t="s">
        <v>10</v>
      </c>
      <c r="C192" s="277">
        <v>1</v>
      </c>
      <c r="D192" s="18">
        <f>D176</f>
        <v>200000</v>
      </c>
      <c r="E192" s="18">
        <f>C192*D192</f>
        <v>200000</v>
      </c>
      <c r="F192" s="20"/>
      <c r="I192" s="85"/>
      <c r="J192" s="85"/>
    </row>
    <row r="193" spans="1:10" x14ac:dyDescent="0.2">
      <c r="A193" s="16" t="s">
        <v>228</v>
      </c>
      <c r="B193" s="17" t="s">
        <v>2</v>
      </c>
      <c r="C193" s="86">
        <v>6</v>
      </c>
      <c r="D193" s="18"/>
      <c r="E193" s="18"/>
      <c r="F193" s="20"/>
      <c r="I193" s="85"/>
      <c r="J193" s="85"/>
    </row>
    <row r="194" spans="1:10" x14ac:dyDescent="0.2">
      <c r="A194" s="16" t="s">
        <v>226</v>
      </c>
      <c r="B194" s="17" t="s">
        <v>35</v>
      </c>
      <c r="C194" s="149">
        <f>IFERROR(IF(C178&lt;=C177,E176-(C179/(100*C177)*C178)*E176,E176-E179),0)</f>
        <v>200000</v>
      </c>
      <c r="D194" s="18"/>
      <c r="E194" s="18"/>
      <c r="F194" s="20"/>
      <c r="I194" s="85"/>
      <c r="J194" s="85"/>
    </row>
    <row r="195" spans="1:10" x14ac:dyDescent="0.2">
      <c r="A195" s="16" t="s">
        <v>126</v>
      </c>
      <c r="B195" s="17" t="s">
        <v>35</v>
      </c>
      <c r="C195" s="83">
        <f>IFERROR(IF(C178&gt;=C177,C194,((((C194)-(E176-E179))*(((C177-C178)+1)/(2*(C177-C178))))+(E176-E179))),0)</f>
        <v>155456</v>
      </c>
      <c r="D195" s="18"/>
      <c r="E195" s="18"/>
      <c r="F195" s="20"/>
      <c r="I195" s="85"/>
      <c r="J195" s="85"/>
    </row>
    <row r="196" spans="1:10" ht="13.5" thickBot="1" x14ac:dyDescent="0.25">
      <c r="A196" s="280" t="s">
        <v>127</v>
      </c>
      <c r="B196" s="281" t="s">
        <v>35</v>
      </c>
      <c r="C196" s="281"/>
      <c r="D196" s="283">
        <f>C193*C195/12/100</f>
        <v>777.28</v>
      </c>
      <c r="E196" s="282">
        <f>D196</f>
        <v>777.28</v>
      </c>
      <c r="F196" s="20"/>
      <c r="I196" s="85"/>
      <c r="J196" s="85"/>
    </row>
    <row r="197" spans="1:10" ht="13.5" thickTop="1" x14ac:dyDescent="0.2">
      <c r="A197" s="13" t="s">
        <v>122</v>
      </c>
      <c r="B197" s="14" t="s">
        <v>10</v>
      </c>
      <c r="C197" s="14">
        <f>C181</f>
        <v>1</v>
      </c>
      <c r="D197" s="15">
        <f>D181</f>
        <v>90000</v>
      </c>
      <c r="E197" s="15">
        <f>C197*D197</f>
        <v>90000</v>
      </c>
      <c r="F197" s="20"/>
      <c r="I197" s="85"/>
      <c r="J197" s="85"/>
    </row>
    <row r="198" spans="1:10" x14ac:dyDescent="0.2">
      <c r="A198" s="16" t="s">
        <v>228</v>
      </c>
      <c r="B198" s="17" t="s">
        <v>2</v>
      </c>
      <c r="C198" s="278">
        <f>C193</f>
        <v>6</v>
      </c>
      <c r="D198" s="18"/>
      <c r="E198" s="18"/>
      <c r="F198" s="20"/>
      <c r="I198" s="85"/>
      <c r="J198" s="85"/>
    </row>
    <row r="199" spans="1:10" x14ac:dyDescent="0.2">
      <c r="A199" s="16" t="s">
        <v>227</v>
      </c>
      <c r="B199" s="17" t="s">
        <v>35</v>
      </c>
      <c r="C199" s="149">
        <f>IFERROR(IF(C183&lt;=C182,E181-(C184/(100*C182)*C183)*E181,E181-E184),0)</f>
        <v>90000</v>
      </c>
      <c r="D199" s="18"/>
      <c r="E199" s="18"/>
      <c r="F199" s="20"/>
      <c r="I199" s="85"/>
      <c r="J199" s="85"/>
    </row>
    <row r="200" spans="1:10" x14ac:dyDescent="0.2">
      <c r="A200" s="16" t="s">
        <v>128</v>
      </c>
      <c r="B200" s="17" t="s">
        <v>35</v>
      </c>
      <c r="C200" s="83">
        <f>IFERROR(IF(C183&gt;=C182,C199,((((C199)-(E181-E184))*(((C182-C183)+1)/(2*(C182-C183))))+(E181-E184))),0)</f>
        <v>69955.199999999997</v>
      </c>
      <c r="D200" s="18"/>
      <c r="E200" s="18"/>
      <c r="F200" s="20"/>
      <c r="I200" s="85"/>
      <c r="J200" s="85"/>
    </row>
    <row r="201" spans="1:10" x14ac:dyDescent="0.2">
      <c r="A201" s="103" t="s">
        <v>125</v>
      </c>
      <c r="B201" s="104" t="s">
        <v>35</v>
      </c>
      <c r="C201" s="104"/>
      <c r="D201" s="113">
        <f>C198*C200/12/100</f>
        <v>349.77600000000001</v>
      </c>
      <c r="E201" s="105">
        <f>D201</f>
        <v>349.77600000000001</v>
      </c>
      <c r="F201" s="20"/>
      <c r="I201" s="85"/>
      <c r="J201" s="85"/>
    </row>
    <row r="202" spans="1:10" x14ac:dyDescent="0.2">
      <c r="A202" s="117" t="s">
        <v>276</v>
      </c>
      <c r="B202" s="118"/>
      <c r="C202" s="118"/>
      <c r="D202" s="119"/>
      <c r="E202" s="120">
        <f>E196+E201</f>
        <v>1127.056</v>
      </c>
      <c r="F202" s="20"/>
      <c r="I202" s="85"/>
      <c r="J202" s="85"/>
    </row>
    <row r="203" spans="1:10" ht="13.5" thickBot="1" x14ac:dyDescent="0.25">
      <c r="A203" s="103" t="s">
        <v>277</v>
      </c>
      <c r="B203" s="104" t="s">
        <v>10</v>
      </c>
      <c r="C203" s="278">
        <f>C187</f>
        <v>1</v>
      </c>
      <c r="D203" s="105">
        <f>E202</f>
        <v>1127.056</v>
      </c>
      <c r="E203" s="120">
        <f>C203*D203</f>
        <v>1127.056</v>
      </c>
      <c r="F203" s="20"/>
      <c r="I203" s="85"/>
      <c r="J203" s="85"/>
    </row>
    <row r="204" spans="1:10" ht="13.5" thickBot="1" x14ac:dyDescent="0.25">
      <c r="C204" s="19"/>
      <c r="D204" s="124" t="s">
        <v>206</v>
      </c>
      <c r="E204" s="50">
        <v>1</v>
      </c>
      <c r="F204" s="21">
        <f>E203*E204</f>
        <v>1127.056</v>
      </c>
      <c r="I204" s="85"/>
      <c r="J204" s="85"/>
    </row>
    <row r="205" spans="1:10" ht="11.25" customHeight="1" x14ac:dyDescent="0.2">
      <c r="I205" s="85"/>
      <c r="J205" s="85"/>
    </row>
    <row r="206" spans="1:10" ht="13.5" thickBot="1" x14ac:dyDescent="0.25">
      <c r="A206" s="9" t="s">
        <v>53</v>
      </c>
      <c r="I206" s="85"/>
      <c r="J206" s="85"/>
    </row>
    <row r="207" spans="1:10" ht="13.5" thickBot="1" x14ac:dyDescent="0.25">
      <c r="A207" s="60" t="s">
        <v>66</v>
      </c>
      <c r="B207" s="61" t="s">
        <v>67</v>
      </c>
      <c r="C207" s="61" t="s">
        <v>42</v>
      </c>
      <c r="D207" s="62" t="s">
        <v>252</v>
      </c>
      <c r="E207" s="62" t="s">
        <v>68</v>
      </c>
      <c r="F207" s="63" t="s">
        <v>69</v>
      </c>
      <c r="I207" s="85"/>
      <c r="J207" s="85"/>
    </row>
    <row r="208" spans="1:10" x14ac:dyDescent="0.2">
      <c r="A208" s="13" t="s">
        <v>12</v>
      </c>
      <c r="B208" s="14" t="s">
        <v>10</v>
      </c>
      <c r="C208" s="15">
        <f>C187</f>
        <v>1</v>
      </c>
      <c r="D208" s="15">
        <f>0.01*($E$176)</f>
        <v>2000</v>
      </c>
      <c r="E208" s="15">
        <f>C208*D208</f>
        <v>2000</v>
      </c>
      <c r="I208" s="85"/>
      <c r="J208" s="85"/>
    </row>
    <row r="209" spans="1:10" x14ac:dyDescent="0.2">
      <c r="A209" s="16" t="s">
        <v>205</v>
      </c>
      <c r="B209" s="17" t="s">
        <v>10</v>
      </c>
      <c r="C209" s="15">
        <f>C187</f>
        <v>1</v>
      </c>
      <c r="D209" s="89">
        <v>150</v>
      </c>
      <c r="E209" s="18">
        <f>C209*D209</f>
        <v>150</v>
      </c>
      <c r="I209" s="85"/>
      <c r="J209" s="85"/>
    </row>
    <row r="210" spans="1:10" x14ac:dyDescent="0.2">
      <c r="A210" s="16" t="s">
        <v>13</v>
      </c>
      <c r="B210" s="17" t="s">
        <v>10</v>
      </c>
      <c r="C210" s="15">
        <f>C187</f>
        <v>1</v>
      </c>
      <c r="D210" s="89">
        <v>0</v>
      </c>
      <c r="E210" s="18">
        <f>C210*D210</f>
        <v>0</v>
      </c>
      <c r="F210" s="31"/>
      <c r="I210" s="85"/>
      <c r="J210" s="85"/>
    </row>
    <row r="211" spans="1:10" ht="13.5" thickBot="1" x14ac:dyDescent="0.25">
      <c r="A211" s="103" t="s">
        <v>14</v>
      </c>
      <c r="B211" s="104" t="s">
        <v>8</v>
      </c>
      <c r="C211" s="104">
        <v>12</v>
      </c>
      <c r="D211" s="105">
        <f>SUM(E208:E210)</f>
        <v>2150</v>
      </c>
      <c r="E211" s="105">
        <f>D211/C211</f>
        <v>179.16666666666666</v>
      </c>
      <c r="I211" s="85"/>
      <c r="J211" s="85"/>
    </row>
    <row r="212" spans="1:10" ht="13.5" thickBot="1" x14ac:dyDescent="0.25">
      <c r="D212" s="124" t="s">
        <v>206</v>
      </c>
      <c r="E212" s="50">
        <v>1</v>
      </c>
      <c r="F212" s="125">
        <f>E211*E212</f>
        <v>179.16666666666666</v>
      </c>
      <c r="I212" s="85"/>
      <c r="J212" s="85"/>
    </row>
    <row r="213" spans="1:10" ht="11.25" customHeight="1" x14ac:dyDescent="0.2">
      <c r="I213" s="85"/>
      <c r="J213" s="85"/>
    </row>
    <row r="214" spans="1:10" x14ac:dyDescent="0.2">
      <c r="A214" s="9" t="s">
        <v>54</v>
      </c>
      <c r="B214" s="32"/>
      <c r="I214" s="85"/>
      <c r="J214" s="85"/>
    </row>
    <row r="215" spans="1:10" x14ac:dyDescent="0.2">
      <c r="B215" s="32"/>
      <c r="I215" s="85"/>
      <c r="J215" s="85"/>
    </row>
    <row r="216" spans="1:10" x14ac:dyDescent="0.2">
      <c r="A216" s="103" t="s">
        <v>130</v>
      </c>
      <c r="B216" s="114">
        <v>1738</v>
      </c>
      <c r="I216" s="85"/>
      <c r="J216" s="85"/>
    </row>
    <row r="217" spans="1:10" ht="13.5" thickBot="1" x14ac:dyDescent="0.25">
      <c r="B217" s="32"/>
      <c r="I217" s="85"/>
      <c r="J217" s="85"/>
    </row>
    <row r="218" spans="1:10" ht="13.5" thickBot="1" x14ac:dyDescent="0.25">
      <c r="A218" s="60" t="s">
        <v>66</v>
      </c>
      <c r="B218" s="61" t="s">
        <v>67</v>
      </c>
      <c r="C218" s="61" t="s">
        <v>275</v>
      </c>
      <c r="D218" s="62" t="s">
        <v>252</v>
      </c>
      <c r="E218" s="62" t="s">
        <v>68</v>
      </c>
      <c r="F218" s="63" t="s">
        <v>69</v>
      </c>
      <c r="I218" s="85"/>
      <c r="J218" s="85"/>
    </row>
    <row r="219" spans="1:10" x14ac:dyDescent="0.2">
      <c r="A219" s="13" t="s">
        <v>15</v>
      </c>
      <c r="B219" s="14" t="s">
        <v>16</v>
      </c>
      <c r="C219" s="97">
        <v>1.8</v>
      </c>
      <c r="D219" s="98">
        <v>3.6</v>
      </c>
      <c r="E219" s="15"/>
      <c r="I219" s="85"/>
      <c r="J219" s="85"/>
    </row>
    <row r="220" spans="1:10" x14ac:dyDescent="0.2">
      <c r="A220" s="16" t="s">
        <v>17</v>
      </c>
      <c r="B220" s="17" t="s">
        <v>18</v>
      </c>
      <c r="C220" s="94">
        <f>B216</f>
        <v>1738</v>
      </c>
      <c r="D220" s="275">
        <f>IFERROR(+D219/C219,"-")</f>
        <v>2</v>
      </c>
      <c r="E220" s="18">
        <f>IFERROR(C220*D220,"-")</f>
        <v>3476</v>
      </c>
      <c r="I220" s="85"/>
      <c r="J220" s="85"/>
    </row>
    <row r="221" spans="1:10" x14ac:dyDescent="0.2">
      <c r="A221" s="16" t="s">
        <v>253</v>
      </c>
      <c r="B221" s="17" t="s">
        <v>19</v>
      </c>
      <c r="C221" s="100">
        <v>6</v>
      </c>
      <c r="D221" s="89">
        <v>16.8</v>
      </c>
      <c r="E221" s="18"/>
      <c r="G221" s="112"/>
      <c r="H221" s="52"/>
      <c r="I221" s="85"/>
      <c r="J221" s="85"/>
    </row>
    <row r="222" spans="1:10" x14ac:dyDescent="0.2">
      <c r="A222" s="16" t="s">
        <v>20</v>
      </c>
      <c r="B222" s="17" t="s">
        <v>18</v>
      </c>
      <c r="C222" s="94">
        <f>C220</f>
        <v>1738</v>
      </c>
      <c r="D222" s="272">
        <f>+C221*D221/1000</f>
        <v>0.10080000000000001</v>
      </c>
      <c r="E222" s="18">
        <f>C222*D222</f>
        <v>175.19040000000004</v>
      </c>
      <c r="G222" s="112"/>
      <c r="H222" s="52"/>
      <c r="I222" s="85"/>
      <c r="J222" s="85"/>
    </row>
    <row r="223" spans="1:10" x14ac:dyDescent="0.2">
      <c r="A223" s="16" t="s">
        <v>254</v>
      </c>
      <c r="B223" s="17" t="s">
        <v>19</v>
      </c>
      <c r="C223" s="100">
        <v>0.85</v>
      </c>
      <c r="D223" s="89">
        <v>15.8</v>
      </c>
      <c r="E223" s="18"/>
      <c r="G223" s="112"/>
      <c r="H223" s="52"/>
      <c r="I223" s="85"/>
      <c r="J223" s="85"/>
    </row>
    <row r="224" spans="1:10" x14ac:dyDescent="0.2">
      <c r="A224" s="16" t="s">
        <v>21</v>
      </c>
      <c r="B224" s="17" t="s">
        <v>18</v>
      </c>
      <c r="C224" s="94">
        <f>C220</f>
        <v>1738</v>
      </c>
      <c r="D224" s="272">
        <f>+C223*D223/1000</f>
        <v>1.3429999999999999E-2</v>
      </c>
      <c r="E224" s="18">
        <f>C224*D224</f>
        <v>23.341339999999999</v>
      </c>
      <c r="G224" s="112"/>
      <c r="H224" s="52"/>
      <c r="I224" s="85"/>
      <c r="J224" s="85"/>
    </row>
    <row r="225" spans="1:10" x14ac:dyDescent="0.2">
      <c r="A225" s="16" t="s">
        <v>255</v>
      </c>
      <c r="B225" s="17" t="s">
        <v>19</v>
      </c>
      <c r="C225" s="100">
        <v>16</v>
      </c>
      <c r="D225" s="89">
        <v>11.25</v>
      </c>
      <c r="E225" s="18"/>
      <c r="G225" s="112"/>
      <c r="H225" s="52"/>
      <c r="I225" s="85"/>
      <c r="J225" s="85"/>
    </row>
    <row r="226" spans="1:10" x14ac:dyDescent="0.2">
      <c r="A226" s="16" t="s">
        <v>22</v>
      </c>
      <c r="B226" s="17" t="s">
        <v>18</v>
      </c>
      <c r="C226" s="94">
        <f>C220</f>
        <v>1738</v>
      </c>
      <c r="D226" s="272">
        <f>+C225*D225/1000</f>
        <v>0.18</v>
      </c>
      <c r="E226" s="18">
        <f>C226*D226</f>
        <v>312.83999999999997</v>
      </c>
      <c r="G226" s="112"/>
      <c r="H226" s="52"/>
      <c r="I226" s="85"/>
      <c r="J226" s="85"/>
    </row>
    <row r="227" spans="1:10" x14ac:dyDescent="0.2">
      <c r="A227" s="16" t="s">
        <v>23</v>
      </c>
      <c r="B227" s="17" t="s">
        <v>24</v>
      </c>
      <c r="C227" s="100">
        <v>2</v>
      </c>
      <c r="D227" s="89">
        <v>5.4</v>
      </c>
      <c r="E227" s="18"/>
      <c r="G227" s="112"/>
      <c r="H227" s="52"/>
      <c r="I227" s="85"/>
      <c r="J227" s="85"/>
    </row>
    <row r="228" spans="1:10" x14ac:dyDescent="0.2">
      <c r="A228" s="16" t="s">
        <v>25</v>
      </c>
      <c r="B228" s="17" t="s">
        <v>18</v>
      </c>
      <c r="C228" s="94">
        <f>C220</f>
        <v>1738</v>
      </c>
      <c r="D228" s="272">
        <f>+C227*D227/1000</f>
        <v>1.0800000000000001E-2</v>
      </c>
      <c r="E228" s="18">
        <f>C228*D228</f>
        <v>18.770400000000002</v>
      </c>
      <c r="G228" s="112"/>
      <c r="H228" s="52"/>
      <c r="I228" s="85"/>
      <c r="J228" s="85"/>
    </row>
    <row r="229" spans="1:10" ht="13.5" thickBot="1" x14ac:dyDescent="0.25">
      <c r="A229" s="103" t="s">
        <v>274</v>
      </c>
      <c r="B229" s="104" t="s">
        <v>131</v>
      </c>
      <c r="C229" s="273"/>
      <c r="D229" s="274">
        <f>IFERROR(D220+D222+D224+D226+D228,0)</f>
        <v>2.3050300000000004</v>
      </c>
      <c r="E229" s="18"/>
      <c r="G229" s="112"/>
      <c r="H229" s="52"/>
      <c r="I229" s="85"/>
      <c r="J229" s="85"/>
    </row>
    <row r="230" spans="1:10" ht="13.5" thickBot="1" x14ac:dyDescent="0.25">
      <c r="F230" s="21">
        <f>SUM(E219:E228)</f>
        <v>4006.1421399999999</v>
      </c>
      <c r="I230" s="85"/>
      <c r="J230" s="85"/>
    </row>
    <row r="231" spans="1:10" ht="11.25" customHeight="1" x14ac:dyDescent="0.2">
      <c r="I231" s="85"/>
      <c r="J231" s="85"/>
    </row>
    <row r="232" spans="1:10" ht="13.5" thickBot="1" x14ac:dyDescent="0.25">
      <c r="A232" s="9" t="s">
        <v>55</v>
      </c>
      <c r="I232" s="85"/>
      <c r="J232" s="85"/>
    </row>
    <row r="233" spans="1:10" ht="13.5" thickBot="1" x14ac:dyDescent="0.25">
      <c r="A233" s="60" t="s">
        <v>66</v>
      </c>
      <c r="B233" s="61" t="s">
        <v>67</v>
      </c>
      <c r="C233" s="61" t="s">
        <v>42</v>
      </c>
      <c r="D233" s="62" t="s">
        <v>252</v>
      </c>
      <c r="E233" s="62" t="s">
        <v>68</v>
      </c>
      <c r="F233" s="63" t="s">
        <v>69</v>
      </c>
      <c r="I233" s="85"/>
      <c r="J233" s="85"/>
    </row>
    <row r="234" spans="1:10" ht="13.5" thickBot="1" x14ac:dyDescent="0.25">
      <c r="A234" s="13" t="s">
        <v>129</v>
      </c>
      <c r="B234" s="14" t="s">
        <v>131</v>
      </c>
      <c r="C234" s="94">
        <f>C220</f>
        <v>1738</v>
      </c>
      <c r="D234" s="87">
        <v>1.03</v>
      </c>
      <c r="E234" s="15">
        <f>C234*D234</f>
        <v>1790.14</v>
      </c>
      <c r="I234" s="85"/>
      <c r="J234" s="85"/>
    </row>
    <row r="235" spans="1:10" ht="13.5" thickBot="1" x14ac:dyDescent="0.25">
      <c r="F235" s="21">
        <f>E234</f>
        <v>1790.14</v>
      </c>
      <c r="I235" s="85"/>
      <c r="J235" s="85"/>
    </row>
    <row r="236" spans="1:10" ht="11.25" customHeight="1" x14ac:dyDescent="0.2">
      <c r="I236" s="85"/>
      <c r="J236" s="85"/>
    </row>
    <row r="237" spans="1:10" ht="13.5" thickBot="1" x14ac:dyDescent="0.25">
      <c r="A237" s="9" t="s">
        <v>64</v>
      </c>
      <c r="I237" s="85"/>
      <c r="J237" s="85"/>
    </row>
    <row r="238" spans="1:10" ht="13.5" thickBot="1" x14ac:dyDescent="0.25">
      <c r="A238" s="60" t="s">
        <v>66</v>
      </c>
      <c r="B238" s="61" t="s">
        <v>67</v>
      </c>
      <c r="C238" s="61" t="s">
        <v>42</v>
      </c>
      <c r="D238" s="62" t="s">
        <v>252</v>
      </c>
      <c r="E238" s="62" t="s">
        <v>68</v>
      </c>
      <c r="F238" s="63" t="s">
        <v>69</v>
      </c>
      <c r="I238" s="85"/>
      <c r="J238" s="85"/>
    </row>
    <row r="239" spans="1:10" x14ac:dyDescent="0.2">
      <c r="A239" s="13" t="s">
        <v>101</v>
      </c>
      <c r="B239" s="14" t="s">
        <v>10</v>
      </c>
      <c r="C239" s="96">
        <v>6</v>
      </c>
      <c r="D239" s="87">
        <v>1610</v>
      </c>
      <c r="E239" s="15">
        <f>C239*D239</f>
        <v>9660</v>
      </c>
      <c r="I239" s="85"/>
      <c r="J239" s="85"/>
    </row>
    <row r="240" spans="1:10" x14ac:dyDescent="0.2">
      <c r="A240" s="13" t="s">
        <v>132</v>
      </c>
      <c r="B240" s="14" t="s">
        <v>10</v>
      </c>
      <c r="C240" s="96">
        <v>2</v>
      </c>
      <c r="D240" s="106"/>
      <c r="E240" s="15"/>
      <c r="I240" s="85"/>
      <c r="J240" s="85"/>
    </row>
    <row r="241" spans="1:10" x14ac:dyDescent="0.2">
      <c r="A241" s="13" t="s">
        <v>74</v>
      </c>
      <c r="B241" s="14" t="s">
        <v>10</v>
      </c>
      <c r="C241" s="15">
        <f>C239*C240</f>
        <v>12</v>
      </c>
      <c r="D241" s="87">
        <v>420</v>
      </c>
      <c r="E241" s="15">
        <f>C241*D241</f>
        <v>5040</v>
      </c>
      <c r="I241" s="85"/>
      <c r="J241" s="85"/>
    </row>
    <row r="242" spans="1:10" x14ac:dyDescent="0.2">
      <c r="A242" s="16" t="s">
        <v>102</v>
      </c>
      <c r="B242" s="17" t="s">
        <v>26</v>
      </c>
      <c r="C242" s="99">
        <v>50000</v>
      </c>
      <c r="D242" s="18">
        <f>E239+E241</f>
        <v>14700</v>
      </c>
      <c r="E242" s="18">
        <f>IFERROR(D242/C242,"-")</f>
        <v>0.29399999999999998</v>
      </c>
      <c r="I242" s="85"/>
      <c r="J242" s="85"/>
    </row>
    <row r="243" spans="1:10" ht="13.5" thickBot="1" x14ac:dyDescent="0.25">
      <c r="A243" s="16" t="s">
        <v>57</v>
      </c>
      <c r="B243" s="17" t="s">
        <v>18</v>
      </c>
      <c r="C243" s="94">
        <f>B216</f>
        <v>1738</v>
      </c>
      <c r="D243" s="18">
        <f>E242</f>
        <v>0.29399999999999998</v>
      </c>
      <c r="E243" s="18">
        <f>IFERROR(C243*D243,0)</f>
        <v>510.97199999999998</v>
      </c>
      <c r="I243" s="85"/>
      <c r="J243" s="85"/>
    </row>
    <row r="244" spans="1:10" ht="13.5" thickBot="1" x14ac:dyDescent="0.25">
      <c r="F244" s="21">
        <f>E243</f>
        <v>510.97199999999998</v>
      </c>
      <c r="I244" s="85"/>
      <c r="J244" s="85"/>
    </row>
    <row r="245" spans="1:10" ht="11.25" customHeight="1" x14ac:dyDescent="0.2">
      <c r="I245" s="85"/>
      <c r="J245" s="85"/>
    </row>
    <row r="246" spans="1:10" ht="11.25" customHeight="1" thickBot="1" x14ac:dyDescent="0.25">
      <c r="G246" s="9"/>
    </row>
    <row r="247" spans="1:10" ht="13.5" thickBot="1" x14ac:dyDescent="0.25">
      <c r="A247" s="24" t="s">
        <v>240</v>
      </c>
      <c r="B247" s="25"/>
      <c r="C247" s="25"/>
      <c r="D247" s="26"/>
      <c r="E247" s="27"/>
      <c r="F247" s="21">
        <f>+SUM(F176:F246)</f>
        <v>10304.676806666666</v>
      </c>
      <c r="G247" s="9"/>
    </row>
    <row r="248" spans="1:10" ht="11.25" customHeight="1" x14ac:dyDescent="0.2">
      <c r="G248" s="9"/>
    </row>
    <row r="249" spans="1:10" x14ac:dyDescent="0.2">
      <c r="A249" s="34" t="s">
        <v>78</v>
      </c>
      <c r="B249" s="34"/>
      <c r="C249" s="34"/>
      <c r="D249" s="35"/>
      <c r="E249" s="35"/>
      <c r="F249" s="33"/>
      <c r="G249" s="9"/>
    </row>
    <row r="250" spans="1:10" ht="11.25" customHeight="1" thickBot="1" x14ac:dyDescent="0.25">
      <c r="G250" s="9"/>
    </row>
    <row r="251" spans="1:10" ht="13.5" thickBot="1" x14ac:dyDescent="0.25">
      <c r="A251" s="60" t="s">
        <v>66</v>
      </c>
      <c r="B251" s="61" t="s">
        <v>67</v>
      </c>
      <c r="C251" s="61" t="s">
        <v>42</v>
      </c>
      <c r="D251" s="62" t="s">
        <v>252</v>
      </c>
      <c r="E251" s="62" t="s">
        <v>68</v>
      </c>
      <c r="F251" s="63" t="s">
        <v>69</v>
      </c>
      <c r="G251" s="9"/>
    </row>
    <row r="252" spans="1:10" x14ac:dyDescent="0.2">
      <c r="A252" s="16" t="s">
        <v>75</v>
      </c>
      <c r="B252" s="17" t="s">
        <v>10</v>
      </c>
      <c r="C252" s="101">
        <v>0.16666666666666666</v>
      </c>
      <c r="D252" s="87">
        <v>67</v>
      </c>
      <c r="E252" s="18">
        <f>C252*D252</f>
        <v>11.166666666666666</v>
      </c>
      <c r="F252" s="55"/>
      <c r="G252" s="9"/>
    </row>
    <row r="253" spans="1:10" x14ac:dyDescent="0.2">
      <c r="A253" s="16" t="s">
        <v>28</v>
      </c>
      <c r="B253" s="17" t="s">
        <v>10</v>
      </c>
      <c r="C253" s="101">
        <v>1</v>
      </c>
      <c r="D253" s="87">
        <v>28</v>
      </c>
      <c r="E253" s="18">
        <f>C253*D253</f>
        <v>28</v>
      </c>
      <c r="F253" s="55"/>
      <c r="G253" s="9"/>
    </row>
    <row r="254" spans="1:10" x14ac:dyDescent="0.2">
      <c r="A254" s="16" t="s">
        <v>29</v>
      </c>
      <c r="B254" s="17" t="s">
        <v>10</v>
      </c>
      <c r="C254" s="101">
        <v>1</v>
      </c>
      <c r="D254" s="87">
        <v>14</v>
      </c>
      <c r="E254" s="18">
        <f>C254*D254</f>
        <v>14</v>
      </c>
      <c r="F254" s="55"/>
      <c r="G254" s="9"/>
    </row>
    <row r="255" spans="1:10" x14ac:dyDescent="0.2">
      <c r="A255" s="16" t="s">
        <v>59</v>
      </c>
      <c r="B255" s="17" t="s">
        <v>60</v>
      </c>
      <c r="C255" s="101">
        <v>0</v>
      </c>
      <c r="D255" s="87"/>
      <c r="E255" s="18">
        <f>C255*D255</f>
        <v>0</v>
      </c>
      <c r="F255" s="55"/>
      <c r="G255" s="9"/>
    </row>
    <row r="256" spans="1:10" ht="13.5" thickBot="1" x14ac:dyDescent="0.25">
      <c r="A256" s="16" t="s">
        <v>62</v>
      </c>
      <c r="B256" s="17" t="s">
        <v>60</v>
      </c>
      <c r="C256" s="101">
        <v>0</v>
      </c>
      <c r="D256" s="87"/>
      <c r="E256" s="18">
        <f>C256*D256</f>
        <v>0</v>
      </c>
      <c r="F256" s="55"/>
      <c r="G256" s="9"/>
    </row>
    <row r="257" spans="1:7" ht="13.5" thickBot="1" x14ac:dyDescent="0.25">
      <c r="A257" s="34"/>
      <c r="B257" s="34"/>
      <c r="C257" s="34"/>
      <c r="D257" s="34"/>
      <c r="E257" s="35"/>
      <c r="F257" s="21">
        <f>SUM(E252:E256)</f>
        <v>53.166666666666664</v>
      </c>
      <c r="G257" s="9"/>
    </row>
    <row r="258" spans="1:7" ht="11.25" customHeight="1" thickBot="1" x14ac:dyDescent="0.25">
      <c r="G258" s="9"/>
    </row>
    <row r="259" spans="1:7" ht="13.5" thickBot="1" x14ac:dyDescent="0.25">
      <c r="A259" s="24" t="s">
        <v>241</v>
      </c>
      <c r="B259" s="25"/>
      <c r="C259" s="25"/>
      <c r="D259" s="26"/>
      <c r="E259" s="27"/>
      <c r="F259" s="21">
        <f>+F257</f>
        <v>53.166666666666664</v>
      </c>
      <c r="G259" s="9"/>
    </row>
    <row r="260" spans="1:7" ht="11.25" customHeight="1" x14ac:dyDescent="0.2">
      <c r="G260" s="9"/>
    </row>
    <row r="261" spans="1:7" x14ac:dyDescent="0.2">
      <c r="A261" s="34" t="s">
        <v>79</v>
      </c>
      <c r="B261" s="34"/>
      <c r="C261" s="34"/>
      <c r="D261" s="35"/>
      <c r="E261" s="35"/>
      <c r="F261" s="33"/>
    </row>
    <row r="262" spans="1:7" ht="11.25" customHeight="1" thickBot="1" x14ac:dyDescent="0.25"/>
    <row r="263" spans="1:7" ht="13.5" thickBot="1" x14ac:dyDescent="0.25">
      <c r="A263" s="60" t="s">
        <v>66</v>
      </c>
      <c r="B263" s="61" t="s">
        <v>67</v>
      </c>
      <c r="C263" s="61" t="s">
        <v>42</v>
      </c>
      <c r="D263" s="62" t="s">
        <v>252</v>
      </c>
      <c r="E263" s="62" t="s">
        <v>68</v>
      </c>
      <c r="F263" s="63" t="s">
        <v>69</v>
      </c>
    </row>
    <row r="264" spans="1:7" x14ac:dyDescent="0.2">
      <c r="A264" s="16" t="s">
        <v>238</v>
      </c>
      <c r="B264" s="53" t="s">
        <v>60</v>
      </c>
      <c r="C264" s="69">
        <f>C176</f>
        <v>1</v>
      </c>
      <c r="D264" s="89">
        <v>59.27</v>
      </c>
      <c r="E264" s="18">
        <f>+D264*C264</f>
        <v>59.27</v>
      </c>
      <c r="F264" s="55"/>
    </row>
    <row r="265" spans="1:7" x14ac:dyDescent="0.2">
      <c r="A265" s="16" t="s">
        <v>63</v>
      </c>
      <c r="B265" s="53" t="s">
        <v>8</v>
      </c>
      <c r="C265" s="155">
        <v>60</v>
      </c>
      <c r="D265" s="80">
        <f>SUM(E264:E264)</f>
        <v>59.27</v>
      </c>
      <c r="E265" s="80">
        <f>+D265/C265</f>
        <v>0.98783333333333334</v>
      </c>
      <c r="F265" s="55"/>
    </row>
    <row r="266" spans="1:7" x14ac:dyDescent="0.2">
      <c r="A266" s="16" t="s">
        <v>239</v>
      </c>
      <c r="B266" s="17" t="s">
        <v>10</v>
      </c>
      <c r="C266" s="69">
        <f>+C264</f>
        <v>1</v>
      </c>
      <c r="D266" s="89">
        <v>1120</v>
      </c>
      <c r="E266" s="18">
        <f>C266*D266</f>
        <v>1120</v>
      </c>
      <c r="F266" s="55"/>
    </row>
    <row r="267" spans="1:7" ht="13.5" thickBot="1" x14ac:dyDescent="0.25">
      <c r="A267" s="16" t="s">
        <v>39</v>
      </c>
      <c r="B267" s="53" t="s">
        <v>8</v>
      </c>
      <c r="C267" s="155">
        <v>1</v>
      </c>
      <c r="D267" s="80">
        <f>+E266</f>
        <v>1120</v>
      </c>
      <c r="E267" s="80">
        <f>+D267/C267</f>
        <v>1120</v>
      </c>
      <c r="F267" s="55"/>
    </row>
    <row r="268" spans="1:7" ht="13.5" thickBot="1" x14ac:dyDescent="0.25">
      <c r="A268" s="81"/>
      <c r="B268" s="81"/>
      <c r="C268" s="81"/>
      <c r="D268" s="124" t="s">
        <v>206</v>
      </c>
      <c r="E268" s="50">
        <f>$B$42</f>
        <v>1</v>
      </c>
      <c r="F268" s="82">
        <f>(E265+E267)*E268</f>
        <v>1120.9878333333334</v>
      </c>
    </row>
    <row r="269" spans="1:7" s="51" customFormat="1" ht="11.25" customHeight="1" thickBot="1" x14ac:dyDescent="0.25">
      <c r="A269" s="9"/>
      <c r="B269" s="9"/>
      <c r="C269" s="9"/>
      <c r="D269" s="10"/>
      <c r="E269" s="10"/>
      <c r="F269" s="10"/>
      <c r="G269" s="84"/>
    </row>
    <row r="270" spans="1:7" ht="13.5" thickBot="1" x14ac:dyDescent="0.25">
      <c r="A270" s="24" t="s">
        <v>237</v>
      </c>
      <c r="B270" s="25"/>
      <c r="C270" s="25"/>
      <c r="D270" s="26"/>
      <c r="E270" s="27"/>
      <c r="F270" s="21">
        <f>+F268</f>
        <v>1120.9878333333334</v>
      </c>
    </row>
    <row r="271" spans="1:7" ht="11.25" customHeight="1" thickBot="1" x14ac:dyDescent="0.25"/>
    <row r="272" spans="1:7" ht="17.25" customHeight="1" thickBot="1" x14ac:dyDescent="0.25">
      <c r="A272" s="24" t="s">
        <v>242</v>
      </c>
      <c r="B272" s="28"/>
      <c r="C272" s="28"/>
      <c r="D272" s="29"/>
      <c r="E272" s="30"/>
      <c r="F272" s="22">
        <f>+F134+F168+F247+F259+F270</f>
        <v>21459.932239810401</v>
      </c>
    </row>
    <row r="273" spans="1:7" ht="11.25" customHeight="1" x14ac:dyDescent="0.2"/>
    <row r="274" spans="1:7" x14ac:dyDescent="0.2">
      <c r="A274" s="11" t="s">
        <v>94</v>
      </c>
    </row>
    <row r="275" spans="1:7" ht="11.25" customHeight="1" thickBot="1" x14ac:dyDescent="0.25"/>
    <row r="276" spans="1:7" ht="13.5" thickBot="1" x14ac:dyDescent="0.25">
      <c r="A276" s="60" t="s">
        <v>66</v>
      </c>
      <c r="B276" s="61" t="s">
        <v>67</v>
      </c>
      <c r="C276" s="61" t="s">
        <v>42</v>
      </c>
      <c r="D276" s="62" t="s">
        <v>252</v>
      </c>
      <c r="E276" s="62" t="s">
        <v>68</v>
      </c>
      <c r="F276" s="63" t="s">
        <v>69</v>
      </c>
    </row>
    <row r="277" spans="1:7" ht="13.5" thickBot="1" x14ac:dyDescent="0.25">
      <c r="A277" s="13" t="s">
        <v>38</v>
      </c>
      <c r="B277" s="14" t="s">
        <v>2</v>
      </c>
      <c r="C277" s="141">
        <f>'4.BDI'!C20*100</f>
        <v>22.770000000000003</v>
      </c>
      <c r="D277" s="15">
        <f>+F272</f>
        <v>21459.932239810401</v>
      </c>
      <c r="E277" s="15">
        <f>C277*D277/100</f>
        <v>4886.4265710048294</v>
      </c>
    </row>
    <row r="278" spans="1:7" ht="13.5" thickBot="1" x14ac:dyDescent="0.25">
      <c r="F278" s="21">
        <f>+E277</f>
        <v>4886.4265710048294</v>
      </c>
    </row>
    <row r="279" spans="1:7" ht="11.25" customHeight="1" thickBot="1" x14ac:dyDescent="0.25"/>
    <row r="280" spans="1:7" ht="13.5" thickBot="1" x14ac:dyDescent="0.25">
      <c r="A280" s="24" t="s">
        <v>256</v>
      </c>
      <c r="B280" s="28"/>
      <c r="C280" s="28"/>
      <c r="D280" s="29"/>
      <c r="E280" s="30"/>
      <c r="F280" s="22">
        <f>F278</f>
        <v>4886.4265710048294</v>
      </c>
    </row>
    <row r="281" spans="1:7" x14ac:dyDescent="0.2">
      <c r="A281" s="34"/>
      <c r="B281" s="34"/>
      <c r="C281" s="34"/>
      <c r="D281" s="35"/>
      <c r="E281" s="35"/>
      <c r="F281" s="33"/>
    </row>
    <row r="282" spans="1:7" ht="11.25" customHeight="1" thickBot="1" x14ac:dyDescent="0.25"/>
    <row r="283" spans="1:7" ht="24.75" customHeight="1" thickBot="1" x14ac:dyDescent="0.25">
      <c r="A283" s="24" t="s">
        <v>243</v>
      </c>
      <c r="B283" s="28"/>
      <c r="C283" s="28"/>
      <c r="D283" s="29"/>
      <c r="E283" s="30"/>
      <c r="F283" s="22">
        <f>F272+F280</f>
        <v>26346.358810815233</v>
      </c>
    </row>
    <row r="284" spans="1:7" ht="12.6" customHeight="1" x14ac:dyDescent="0.2">
      <c r="A284" s="56"/>
      <c r="B284" s="56"/>
      <c r="C284" s="56"/>
      <c r="D284" s="57"/>
      <c r="E284" s="57"/>
      <c r="F284" s="57"/>
    </row>
    <row r="285" spans="1:7" ht="14.25" x14ac:dyDescent="0.2">
      <c r="A285" s="8"/>
      <c r="B285" s="8"/>
      <c r="C285" s="8"/>
      <c r="D285" s="36"/>
      <c r="E285" s="36"/>
    </row>
    <row r="286" spans="1:7" ht="16.149999999999999" customHeight="1" x14ac:dyDescent="0.2">
      <c r="A286" s="252" t="s">
        <v>236</v>
      </c>
      <c r="B286" s="253"/>
      <c r="C286" s="253"/>
      <c r="D286" s="254">
        <v>80</v>
      </c>
      <c r="E286" s="255" t="s">
        <v>27</v>
      </c>
      <c r="G286" s="10" t="s">
        <v>216</v>
      </c>
    </row>
    <row r="287" spans="1:7" ht="13.5" thickBot="1" x14ac:dyDescent="0.25"/>
    <row r="288" spans="1:7" ht="25.5" customHeight="1" thickBot="1" x14ac:dyDescent="0.25">
      <c r="A288" s="24" t="s">
        <v>73</v>
      </c>
      <c r="B288" s="25"/>
      <c r="C288" s="25"/>
      <c r="D288" s="26"/>
      <c r="E288" s="256" t="s">
        <v>34</v>
      </c>
      <c r="F288" s="257">
        <f>IFERROR(F283/D286,"-")</f>
        <v>329.3294851351904</v>
      </c>
      <c r="G288" s="10" t="s">
        <v>216</v>
      </c>
    </row>
    <row r="289" spans="1:7" ht="12.6" customHeight="1" x14ac:dyDescent="0.2">
      <c r="A289" s="34"/>
      <c r="B289" s="34"/>
      <c r="C289" s="34"/>
      <c r="D289" s="35"/>
      <c r="E289" s="35"/>
      <c r="F289" s="35"/>
    </row>
    <row r="290" spans="1:7" s="4" customFormat="1" ht="9.75" customHeight="1" x14ac:dyDescent="0.2">
      <c r="A290" s="39"/>
      <c r="B290" s="10"/>
      <c r="C290" s="10"/>
      <c r="D290" s="10"/>
      <c r="E290" s="10"/>
      <c r="F290" s="10"/>
      <c r="G290" s="6"/>
    </row>
    <row r="291" spans="1:7" s="4" customFormat="1" ht="9.75" customHeight="1" x14ac:dyDescent="0.2">
      <c r="A291" s="39"/>
      <c r="B291" s="10"/>
      <c r="C291" s="10"/>
      <c r="D291" s="10"/>
      <c r="E291" s="10"/>
      <c r="F291" s="10"/>
      <c r="G291" s="6"/>
    </row>
    <row r="292" spans="1:7" s="4" customFormat="1" ht="9.75" customHeight="1" x14ac:dyDescent="0.2">
      <c r="A292" s="39"/>
      <c r="B292" s="10"/>
      <c r="C292" s="10"/>
      <c r="D292" s="10"/>
      <c r="E292" s="10"/>
      <c r="F292" s="10"/>
      <c r="G292" s="6"/>
    </row>
    <row r="322" spans="4:7" ht="9" customHeight="1" x14ac:dyDescent="0.2">
      <c r="D322" s="9"/>
      <c r="E322" s="9"/>
      <c r="F322" s="9"/>
      <c r="G322" s="9"/>
    </row>
  </sheetData>
  <mergeCells count="7">
    <mergeCell ref="A38:D38"/>
    <mergeCell ref="A15:C15"/>
    <mergeCell ref="A2:F2"/>
    <mergeCell ref="A3:F3"/>
    <mergeCell ref="A31:D31"/>
    <mergeCell ref="A5:F5"/>
    <mergeCell ref="A30:E30"/>
  </mergeCells>
  <phoneticPr fontId="9" type="noConversion"/>
  <hyperlinks>
    <hyperlink ref="A190" location="AbaRemun" display="3.1.2. Remuneração do Capital"/>
    <hyperlink ref="A174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43" max="5" man="1"/>
    <brk id="113" max="5" man="1"/>
    <brk id="169" max="5" man="1"/>
    <brk id="23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7" zoomScaleNormal="100" workbookViewId="0">
      <selection activeCell="D31" sqref="D31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214</v>
      </c>
    </row>
    <row r="2" spans="1:12" x14ac:dyDescent="0.2">
      <c r="A2" s="140" t="s">
        <v>263</v>
      </c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customHeight="1" x14ac:dyDescent="0.2">
      <c r="A4" s="304" t="s">
        <v>309</v>
      </c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304" t="s">
        <v>306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329" t="s">
        <v>246</v>
      </c>
      <c r="B7" s="330"/>
      <c r="C7" s="331"/>
      <c r="D7" s="150"/>
      <c r="E7" s="150"/>
      <c r="F7" s="150"/>
    </row>
    <row r="8" spans="1:12" ht="14.25" x14ac:dyDescent="0.2">
      <c r="A8" s="169" t="s">
        <v>152</v>
      </c>
      <c r="B8" s="170" t="s">
        <v>153</v>
      </c>
      <c r="C8" s="171" t="s">
        <v>154</v>
      </c>
      <c r="D8" s="172"/>
    </row>
    <row r="9" spans="1:12" ht="14.25" x14ac:dyDescent="0.2">
      <c r="A9" s="169" t="s">
        <v>155</v>
      </c>
      <c r="B9" s="170" t="s">
        <v>43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 x14ac:dyDescent="0.2">
      <c r="A10" s="169" t="s">
        <v>156</v>
      </c>
      <c r="B10" s="170" t="s">
        <v>157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158</v>
      </c>
      <c r="B11" s="170" t="s">
        <v>159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160</v>
      </c>
      <c r="B12" s="170" t="s">
        <v>161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162</v>
      </c>
      <c r="B13" s="170" t="s">
        <v>163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164</v>
      </c>
      <c r="B14" s="170" t="s">
        <v>165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166</v>
      </c>
      <c r="B15" s="170" t="s">
        <v>167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168</v>
      </c>
      <c r="B16" s="170" t="s">
        <v>44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 x14ac:dyDescent="0.2">
      <c r="A17" s="169" t="s">
        <v>169</v>
      </c>
      <c r="B17" s="175" t="s">
        <v>170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 x14ac:dyDescent="0.2">
      <c r="A19" s="169" t="s">
        <v>171</v>
      </c>
      <c r="B19" s="180" t="s">
        <v>172</v>
      </c>
      <c r="C19" s="173">
        <f>ROUND(IF('3.CAGED'!C32&gt;24,(1-12/'3.CAGED'!C32)*0.1111,0.1111-C28),4)</f>
        <v>6.5699999999999995E-2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173</v>
      </c>
      <c r="B20" s="180" t="s">
        <v>174</v>
      </c>
      <c r="C20" s="173">
        <f>ROUND('3.CAGED'!C36/'3.CAGED'!C33,4)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235</v>
      </c>
      <c r="B21" s="180" t="s">
        <v>176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175</v>
      </c>
      <c r="B22" s="180" t="s">
        <v>178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177</v>
      </c>
      <c r="B23" s="180" t="s">
        <v>180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179</v>
      </c>
      <c r="B24" s="180" t="s">
        <v>181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 x14ac:dyDescent="0.2">
      <c r="A25" s="169" t="s">
        <v>182</v>
      </c>
      <c r="B25" s="175" t="s">
        <v>183</v>
      </c>
      <c r="C25" s="176">
        <f>SUM(C19:C24)</f>
        <v>0.17749999999999999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 x14ac:dyDescent="0.2">
      <c r="A27" s="169" t="s">
        <v>184</v>
      </c>
      <c r="B27" s="170" t="s">
        <v>185</v>
      </c>
      <c r="C27" s="173">
        <f>ROUND(('3.CAGED'!C37) *'3.CAGED'!C30/'3.CAGED'!C33,4)</f>
        <v>2.9000000000000001E-2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234</v>
      </c>
      <c r="B28" s="170" t="s">
        <v>187</v>
      </c>
      <c r="C28" s="173">
        <f>ROUND(IF('3.CAGED'!C32&gt;12,12/'3.CAGED'!C32*0.1111,0.1111),4)</f>
        <v>4.5400000000000003E-2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 x14ac:dyDescent="0.2">
      <c r="A29" s="169" t="s">
        <v>186</v>
      </c>
      <c r="B29" s="170" t="s">
        <v>189</v>
      </c>
      <c r="C29" s="173">
        <f>C27*C28</f>
        <v>1.3166000000000002E-3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 x14ac:dyDescent="0.2">
      <c r="A30" s="169" t="s">
        <v>188</v>
      </c>
      <c r="B30" s="170" t="s">
        <v>191</v>
      </c>
      <c r="C30" s="173">
        <f>ROUND(('3.CAGED'!C33+'3.CAGED'!C34+'3.CAGED'!C36)/'3.CAGED'!C31*'3.CAGED'!C38*'3.CAGED'!C39*'3.CAGED'!C30/'3.CAGED'!C33,4)</f>
        <v>3.15E-2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 x14ac:dyDescent="0.2">
      <c r="A31" s="169" t="s">
        <v>190</v>
      </c>
      <c r="B31" s="170" t="s">
        <v>192</v>
      </c>
      <c r="C31" s="173">
        <f>ROUND(('3.CAGED'!C35/'3.CAGED'!C33)*'3.CAGED'!C30/12,4)</f>
        <v>2E-3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 x14ac:dyDescent="0.2">
      <c r="A32" s="169" t="s">
        <v>193</v>
      </c>
      <c r="B32" s="175" t="s">
        <v>194</v>
      </c>
      <c r="C32" s="176">
        <f>SUM(C27:C31)</f>
        <v>0.10921660000000001</v>
      </c>
      <c r="D32" s="181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 x14ac:dyDescent="0.2">
      <c r="A34" s="169" t="s">
        <v>195</v>
      </c>
      <c r="B34" s="170" t="s">
        <v>196</v>
      </c>
      <c r="C34" s="173">
        <f>ROUND(C17*C25,4)</f>
        <v>6.5299999999999997E-2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 x14ac:dyDescent="0.2">
      <c r="A35" s="169" t="s">
        <v>197</v>
      </c>
      <c r="B35" s="185" t="s">
        <v>305</v>
      </c>
      <c r="C35" s="173">
        <f>ROUND((C27*C16),4)</f>
        <v>2.3E-3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 x14ac:dyDescent="0.2">
      <c r="A36" s="169" t="s">
        <v>198</v>
      </c>
      <c r="B36" s="175" t="s">
        <v>199</v>
      </c>
      <c r="C36" s="176">
        <f>SUM(C34:C35)</f>
        <v>6.7599999999999993E-2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 x14ac:dyDescent="0.25">
      <c r="A37" s="187"/>
      <c r="B37" s="188" t="s">
        <v>200</v>
      </c>
      <c r="C37" s="189">
        <f>C36+C32+C25+C17</f>
        <v>0.72231660000000009</v>
      </c>
      <c r="D37" s="186"/>
      <c r="F37" s="158"/>
      <c r="G37" s="158"/>
      <c r="H37" s="158"/>
      <c r="I37" s="158"/>
      <c r="J37" s="158"/>
      <c r="K37" s="158"/>
      <c r="L37" s="158"/>
    </row>
    <row r="38" spans="1:12" ht="15" x14ac:dyDescent="0.2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 x14ac:dyDescent="0.2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 x14ac:dyDescent="0.2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 x14ac:dyDescent="0.2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 x14ac:dyDescent="0.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 x14ac:dyDescent="0.2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 x14ac:dyDescent="0.2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 x14ac:dyDescent="0.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158"/>
      <c r="B60" s="158"/>
      <c r="C60" s="158"/>
      <c r="E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0" zoomScaleNormal="100" workbookViewId="0">
      <selection activeCell="D26" sqref="D26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 t="s">
        <v>257</v>
      </c>
    </row>
    <row r="3" spans="1:3" x14ac:dyDescent="0.2">
      <c r="A3" s="1" t="s">
        <v>222</v>
      </c>
    </row>
    <row r="4" spans="1:3" x14ac:dyDescent="0.2">
      <c r="A4" s="279" t="s">
        <v>218</v>
      </c>
    </row>
    <row r="5" spans="1:3" ht="25.5" customHeight="1" x14ac:dyDescent="0.2">
      <c r="A5" s="335" t="s">
        <v>272</v>
      </c>
      <c r="B5" s="334"/>
      <c r="C5" s="334"/>
    </row>
    <row r="6" spans="1:3" x14ac:dyDescent="0.2">
      <c r="A6" s="1" t="s">
        <v>219</v>
      </c>
    </row>
    <row r="7" spans="1:3" ht="26.25" customHeight="1" x14ac:dyDescent="0.2">
      <c r="A7" s="334" t="s">
        <v>220</v>
      </c>
      <c r="B7" s="334"/>
      <c r="C7" s="334"/>
    </row>
    <row r="8" spans="1:3" x14ac:dyDescent="0.2">
      <c r="A8" s="1" t="s">
        <v>221</v>
      </c>
    </row>
    <row r="9" spans="1:3" x14ac:dyDescent="0.2">
      <c r="A9" s="306" t="s">
        <v>258</v>
      </c>
    </row>
    <row r="10" spans="1:3" ht="13.5" thickBot="1" x14ac:dyDescent="0.25"/>
    <row r="11" spans="1:3" ht="18" x14ac:dyDescent="0.25">
      <c r="B11" s="332" t="s">
        <v>244</v>
      </c>
      <c r="C11" s="333"/>
    </row>
    <row r="12" spans="1:3" ht="15" x14ac:dyDescent="0.25">
      <c r="A12" s="158"/>
      <c r="B12" s="157" t="s">
        <v>217</v>
      </c>
      <c r="C12" s="203"/>
    </row>
    <row r="13" spans="1:3" ht="15" x14ac:dyDescent="0.25">
      <c r="A13" s="158"/>
      <c r="B13" s="159" t="s">
        <v>136</v>
      </c>
      <c r="C13" s="160">
        <v>1932</v>
      </c>
    </row>
    <row r="14" spans="1:3" ht="15" x14ac:dyDescent="0.25">
      <c r="A14" s="158"/>
      <c r="B14" s="161" t="s">
        <v>137</v>
      </c>
      <c r="C14" s="160">
        <v>2197</v>
      </c>
    </row>
    <row r="15" spans="1:3" ht="14.25" x14ac:dyDescent="0.2">
      <c r="A15" s="158"/>
      <c r="B15" s="204" t="s">
        <v>138</v>
      </c>
      <c r="C15" s="205">
        <v>25</v>
      </c>
    </row>
    <row r="16" spans="1:3" ht="14.25" x14ac:dyDescent="0.2">
      <c r="A16" s="158"/>
      <c r="B16" s="204" t="s">
        <v>139</v>
      </c>
      <c r="C16" s="205">
        <v>1463</v>
      </c>
    </row>
    <row r="17" spans="1:5" ht="14.25" x14ac:dyDescent="0.2">
      <c r="A17" s="158"/>
      <c r="B17" s="204" t="s">
        <v>140</v>
      </c>
      <c r="C17" s="205">
        <v>321</v>
      </c>
    </row>
    <row r="18" spans="1:5" ht="14.25" x14ac:dyDescent="0.2">
      <c r="A18" s="158"/>
      <c r="B18" s="204" t="s">
        <v>141</v>
      </c>
      <c r="C18" s="205">
        <v>12</v>
      </c>
    </row>
    <row r="19" spans="1:5" ht="14.25" x14ac:dyDescent="0.2">
      <c r="A19" s="158"/>
      <c r="B19" s="204" t="s">
        <v>142</v>
      </c>
      <c r="C19" s="205">
        <v>339</v>
      </c>
    </row>
    <row r="20" spans="1:5" ht="14.25" x14ac:dyDescent="0.2">
      <c r="A20" s="158"/>
      <c r="B20" s="204" t="s">
        <v>143</v>
      </c>
      <c r="C20" s="205">
        <v>0</v>
      </c>
    </row>
    <row r="21" spans="1:5" ht="14.25" x14ac:dyDescent="0.2">
      <c r="A21" s="158"/>
      <c r="B21" s="204" t="s">
        <v>144</v>
      </c>
      <c r="C21" s="205">
        <v>22</v>
      </c>
    </row>
    <row r="22" spans="1:5" ht="14.25" x14ac:dyDescent="0.2">
      <c r="A22" s="158"/>
      <c r="B22" s="206" t="s">
        <v>145</v>
      </c>
      <c r="C22" s="207">
        <v>0</v>
      </c>
    </row>
    <row r="23" spans="1:5" ht="14.25" x14ac:dyDescent="0.2">
      <c r="A23" s="158"/>
      <c r="B23" s="312" t="s">
        <v>312</v>
      </c>
      <c r="C23" s="207">
        <v>0</v>
      </c>
    </row>
    <row r="24" spans="1:5" ht="15" x14ac:dyDescent="0.25">
      <c r="A24" s="158" t="s">
        <v>146</v>
      </c>
      <c r="B24" s="157" t="s">
        <v>147</v>
      </c>
      <c r="C24" s="203"/>
    </row>
    <row r="25" spans="1:5" ht="14.25" x14ac:dyDescent="0.2">
      <c r="A25" s="158"/>
      <c r="B25" s="208" t="s">
        <v>313</v>
      </c>
      <c r="C25" s="209">
        <v>5183</v>
      </c>
    </row>
    <row r="26" spans="1:5" ht="14.25" x14ac:dyDescent="0.2">
      <c r="A26" s="158"/>
      <c r="B26" s="204" t="s">
        <v>314</v>
      </c>
      <c r="C26" s="205">
        <v>4918</v>
      </c>
    </row>
    <row r="27" spans="1:5" ht="14.25" x14ac:dyDescent="0.2">
      <c r="B27" s="204" t="s">
        <v>315</v>
      </c>
      <c r="C27" s="305">
        <f>C13-C14</f>
        <v>-265</v>
      </c>
    </row>
    <row r="28" spans="1:5" ht="14.25" x14ac:dyDescent="0.2">
      <c r="B28" s="210"/>
      <c r="C28" s="211"/>
    </row>
    <row r="29" spans="1:5" s="108" customFormat="1" ht="15" x14ac:dyDescent="0.25">
      <c r="B29" s="159" t="s">
        <v>149</v>
      </c>
      <c r="C29" s="212">
        <f>MEDIAN(C25,C26)</f>
        <v>5050.5</v>
      </c>
    </row>
    <row r="30" spans="1:5" ht="15" x14ac:dyDescent="0.25">
      <c r="B30" s="161" t="s">
        <v>310</v>
      </c>
      <c r="C30" s="310">
        <f>C16/C29</f>
        <v>0.28967428967428965</v>
      </c>
    </row>
    <row r="31" spans="1:5" ht="15" x14ac:dyDescent="0.25">
      <c r="B31" s="161" t="s">
        <v>311</v>
      </c>
      <c r="C31" s="310">
        <f>MEDIAN(C13,C14)/C29</f>
        <v>0.40877140877140877</v>
      </c>
      <c r="E31" s="279"/>
    </row>
    <row r="32" spans="1:5" s="108" customFormat="1" ht="15" x14ac:dyDescent="0.25">
      <c r="B32" s="161" t="s">
        <v>264</v>
      </c>
      <c r="C32" s="308">
        <f>12/C31</f>
        <v>29.356260595785905</v>
      </c>
    </row>
    <row r="33" spans="2:3" ht="15" x14ac:dyDescent="0.25">
      <c r="B33" s="161" t="s">
        <v>148</v>
      </c>
      <c r="C33" s="163">
        <v>360</v>
      </c>
    </row>
    <row r="34" spans="2:3" ht="15" x14ac:dyDescent="0.25">
      <c r="B34" s="161" t="s">
        <v>259</v>
      </c>
      <c r="C34" s="163">
        <v>10</v>
      </c>
    </row>
    <row r="35" spans="2:3" ht="15" x14ac:dyDescent="0.25">
      <c r="B35" s="159" t="s">
        <v>260</v>
      </c>
      <c r="C35" s="162">
        <v>30</v>
      </c>
    </row>
    <row r="36" spans="2:3" ht="15" x14ac:dyDescent="0.25">
      <c r="B36" s="159" t="s">
        <v>261</v>
      </c>
      <c r="C36" s="162">
        <v>30</v>
      </c>
    </row>
    <row r="37" spans="2:3" s="108" customFormat="1" ht="15" x14ac:dyDescent="0.25">
      <c r="B37" s="159" t="s">
        <v>151</v>
      </c>
      <c r="C37" s="162">
        <f>30+(3*TRUNC(1/C31))</f>
        <v>36</v>
      </c>
    </row>
    <row r="38" spans="2:3" s="108" customFormat="1" ht="15" x14ac:dyDescent="0.25">
      <c r="B38" s="161" t="s">
        <v>44</v>
      </c>
      <c r="C38" s="309">
        <v>0.08</v>
      </c>
    </row>
    <row r="39" spans="2:3" s="108" customFormat="1" ht="15.75" thickBot="1" x14ac:dyDescent="0.3">
      <c r="B39" s="164" t="s">
        <v>150</v>
      </c>
      <c r="C39" s="311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opLeftCell="A7" zoomScaleNormal="100" workbookViewId="0">
      <selection activeCell="E17" sqref="E1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7" customFormat="1" ht="14.25" x14ac:dyDescent="0.2">
      <c r="A1" s="11" t="s">
        <v>214</v>
      </c>
      <c r="B1" s="145"/>
      <c r="C1" s="145"/>
      <c r="E1" s="148"/>
    </row>
    <row r="2" spans="1:8" s="147" customFormat="1" ht="14.25" x14ac:dyDescent="0.2">
      <c r="A2" s="140" t="s">
        <v>265</v>
      </c>
      <c r="B2" s="145"/>
      <c r="C2" s="145"/>
      <c r="E2" s="148"/>
    </row>
    <row r="3" spans="1:8" s="147" customFormat="1" ht="14.25" x14ac:dyDescent="0.2">
      <c r="A3" s="9" t="s">
        <v>215</v>
      </c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customHeight="1" x14ac:dyDescent="0.2">
      <c r="A5" s="304" t="s">
        <v>309</v>
      </c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304" t="s">
        <v>306</v>
      </c>
      <c r="B6" s="5"/>
      <c r="C6" s="5"/>
      <c r="D6" s="6"/>
      <c r="E6" s="6"/>
      <c r="F6" s="6"/>
      <c r="G6" s="6"/>
    </row>
    <row r="7" spans="1:8" s="147" customFormat="1" ht="15" thickBot="1" x14ac:dyDescent="0.25">
      <c r="B7" s="145"/>
      <c r="C7" s="145"/>
      <c r="E7" s="148"/>
    </row>
    <row r="8" spans="1:8" ht="15.75" x14ac:dyDescent="0.2">
      <c r="A8" s="341" t="s">
        <v>245</v>
      </c>
      <c r="B8" s="342"/>
      <c r="C8" s="342"/>
      <c r="D8" s="342"/>
      <c r="E8" s="342"/>
      <c r="F8" s="343"/>
    </row>
    <row r="9" spans="1:8" ht="16.5" thickBot="1" x14ac:dyDescent="0.25">
      <c r="A9" s="264"/>
      <c r="B9" s="265"/>
      <c r="C9" s="265"/>
      <c r="D9" s="265"/>
      <c r="E9" s="265"/>
      <c r="F9" s="266"/>
    </row>
    <row r="10" spans="1:8" ht="15" x14ac:dyDescent="0.25">
      <c r="A10" s="213"/>
      <c r="B10" s="146"/>
      <c r="C10" s="146"/>
      <c r="D10" s="338" t="s">
        <v>262</v>
      </c>
      <c r="E10" s="339"/>
      <c r="F10" s="340"/>
      <c r="G10" s="147"/>
      <c r="H10" s="147"/>
    </row>
    <row r="11" spans="1:8" ht="15" thickBot="1" x14ac:dyDescent="0.25">
      <c r="A11" s="210"/>
      <c r="B11" s="214"/>
      <c r="C11" s="214"/>
      <c r="D11" s="215" t="s">
        <v>201</v>
      </c>
      <c r="E11" s="216" t="s">
        <v>202</v>
      </c>
      <c r="F11" s="217" t="s">
        <v>203</v>
      </c>
      <c r="G11" s="147"/>
      <c r="H11" s="147"/>
    </row>
    <row r="12" spans="1:8" ht="14.25" x14ac:dyDescent="0.2">
      <c r="A12" s="218" t="s">
        <v>80</v>
      </c>
      <c r="B12" s="219" t="s">
        <v>81</v>
      </c>
      <c r="C12" s="220">
        <v>5.0799999999999998E-2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 x14ac:dyDescent="0.2">
      <c r="A13" s="222" t="s">
        <v>82</v>
      </c>
      <c r="B13" s="223" t="s">
        <v>83</v>
      </c>
      <c r="C13" s="224">
        <v>1.3299999999999999E-2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 x14ac:dyDescent="0.2">
      <c r="A14" s="222" t="s">
        <v>84</v>
      </c>
      <c r="B14" s="223" t="s">
        <v>85</v>
      </c>
      <c r="C14" s="224">
        <v>0.1085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 x14ac:dyDescent="0.2">
      <c r="A15" s="222" t="s">
        <v>86</v>
      </c>
      <c r="B15" s="223" t="s">
        <v>87</v>
      </c>
      <c r="C15" s="225">
        <f>(1+E15)^(E16/252)-1</f>
        <v>5.0105107694793372E-3</v>
      </c>
      <c r="D15" s="241" t="s">
        <v>301</v>
      </c>
      <c r="E15" s="226">
        <v>6.5000000000000002E-2</v>
      </c>
      <c r="F15" s="221"/>
      <c r="G15" s="147"/>
      <c r="H15" s="147"/>
    </row>
    <row r="16" spans="1:8" ht="14.25" x14ac:dyDescent="0.2">
      <c r="A16" s="222" t="s">
        <v>88</v>
      </c>
      <c r="B16" s="336" t="s">
        <v>89</v>
      </c>
      <c r="C16" s="224">
        <v>2.5000000000000001E-2</v>
      </c>
      <c r="D16" s="303" t="s">
        <v>204</v>
      </c>
      <c r="E16" s="227">
        <v>20</v>
      </c>
      <c r="F16" s="228"/>
      <c r="G16" s="147"/>
      <c r="H16" s="147"/>
    </row>
    <row r="17" spans="1:8" ht="15" thickBot="1" x14ac:dyDescent="0.25">
      <c r="A17" s="229" t="s">
        <v>90</v>
      </c>
      <c r="B17" s="337"/>
      <c r="C17" s="230">
        <v>9.4000000000000004E-3</v>
      </c>
      <c r="D17" s="204"/>
      <c r="E17" s="231"/>
      <c r="F17" s="228"/>
      <c r="G17" s="147"/>
      <c r="H17" s="147"/>
    </row>
    <row r="18" spans="1:8" ht="14.25" x14ac:dyDescent="0.2">
      <c r="A18" s="232" t="s">
        <v>91</v>
      </c>
      <c r="B18" s="233"/>
      <c r="C18" s="234"/>
      <c r="D18" s="204"/>
      <c r="E18" s="231"/>
      <c r="F18" s="228"/>
      <c r="G18" s="147"/>
      <c r="H18" s="147"/>
    </row>
    <row r="19" spans="1:8" ht="15" thickBot="1" x14ac:dyDescent="0.25">
      <c r="A19" s="235" t="s">
        <v>92</v>
      </c>
      <c r="B19" s="236"/>
      <c r="C19" s="237"/>
      <c r="D19" s="204"/>
      <c r="E19" s="231"/>
      <c r="F19" s="228"/>
      <c r="G19" s="147"/>
      <c r="H19" s="147"/>
    </row>
    <row r="20" spans="1:8" ht="15.75" thickBot="1" x14ac:dyDescent="0.25">
      <c r="A20" s="238" t="s">
        <v>93</v>
      </c>
      <c r="B20" s="239"/>
      <c r="C20" s="240">
        <f>ROUND((((1+C12+C13)*(1+C14)*(1+C15))/(1-(C16+C17))-1),4)</f>
        <v>0.22770000000000001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 x14ac:dyDescent="0.2">
      <c r="A21" s="147"/>
      <c r="B21" s="147"/>
      <c r="C21" s="147"/>
      <c r="D21" s="147"/>
      <c r="E21" s="148"/>
      <c r="F21" s="147"/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44" t="s">
        <v>247</v>
      </c>
      <c r="B1" s="345"/>
    </row>
    <row r="2" spans="1:2" s="108" customFormat="1" ht="19.5" customHeight="1" x14ac:dyDescent="0.2">
      <c r="A2" s="267" t="s">
        <v>223</v>
      </c>
      <c r="B2" s="268" t="s">
        <v>303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251</v>
      </c>
    </row>
    <row r="2" spans="1:1" x14ac:dyDescent="0.2">
      <c r="A2" s="247"/>
    </row>
    <row r="3" spans="1:1" x14ac:dyDescent="0.2">
      <c r="A3" s="247" t="s">
        <v>266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248</v>
      </c>
    </row>
    <row r="13" spans="1:1" ht="15" x14ac:dyDescent="0.2">
      <c r="A13" s="248" t="s">
        <v>119</v>
      </c>
    </row>
    <row r="14" spans="1:1" ht="15" x14ac:dyDescent="0.2">
      <c r="A14" s="248" t="s">
        <v>124</v>
      </c>
    </row>
    <row r="15" spans="1:1" ht="19.5" x14ac:dyDescent="0.35">
      <c r="A15" s="248" t="s">
        <v>249</v>
      </c>
    </row>
    <row r="16" spans="1:1" ht="19.5" x14ac:dyDescent="0.35">
      <c r="A16" s="248" t="s">
        <v>250</v>
      </c>
    </row>
    <row r="17" spans="1:1" ht="15.75" thickBot="1" x14ac:dyDescent="0.25">
      <c r="A17" s="249" t="s">
        <v>120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C24" sqref="C24"/>
    </sheetView>
  </sheetViews>
  <sheetFormatPr defaultColWidth="9.140625" defaultRowHeight="12.75" x14ac:dyDescent="0.2"/>
  <cols>
    <col min="1" max="1" width="58.28515625" style="279" customWidth="1"/>
    <col min="2" max="2" width="11.140625" style="279" bestFit="1" customWidth="1"/>
    <col min="3" max="3" width="11.28515625" style="279" bestFit="1" customWidth="1"/>
    <col min="4" max="16384" width="9.140625" style="279"/>
  </cols>
  <sheetData>
    <row r="1" spans="1:7" x14ac:dyDescent="0.2">
      <c r="A1" s="11" t="s">
        <v>214</v>
      </c>
    </row>
    <row r="2" spans="1:7" x14ac:dyDescent="0.2">
      <c r="A2" s="284" t="s">
        <v>278</v>
      </c>
    </row>
    <row r="3" spans="1:7" x14ac:dyDescent="0.2">
      <c r="A3" s="284" t="s">
        <v>304</v>
      </c>
    </row>
    <row r="4" spans="1:7" x14ac:dyDescent="0.2">
      <c r="A4" s="7" t="s">
        <v>302</v>
      </c>
    </row>
    <row r="5" spans="1:7" x14ac:dyDescent="0.2">
      <c r="A5" s="7"/>
    </row>
    <row r="6" spans="1:7" s="4" customFormat="1" ht="15.6" customHeight="1" x14ac:dyDescent="0.2">
      <c r="A6" s="304" t="s">
        <v>309</v>
      </c>
      <c r="B6" s="139"/>
      <c r="C6" s="139"/>
      <c r="D6" s="139"/>
      <c r="E6" s="139"/>
      <c r="F6" s="139"/>
      <c r="G6" s="6"/>
    </row>
    <row r="7" spans="1:7" s="4" customFormat="1" ht="16.5" customHeight="1" x14ac:dyDescent="0.2">
      <c r="A7" s="304" t="s">
        <v>306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46" t="s">
        <v>298</v>
      </c>
      <c r="B9" s="347"/>
      <c r="C9" s="348"/>
    </row>
    <row r="10" spans="1:7" s="285" customFormat="1" ht="18" x14ac:dyDescent="0.25">
      <c r="A10" s="300"/>
      <c r="B10" s="299"/>
      <c r="C10" s="301"/>
    </row>
    <row r="11" spans="1:7" s="108" customFormat="1" ht="15" x14ac:dyDescent="0.25">
      <c r="A11" s="286" t="s">
        <v>299</v>
      </c>
      <c r="B11" s="287" t="s">
        <v>279</v>
      </c>
      <c r="C11" s="288" t="s">
        <v>154</v>
      </c>
    </row>
    <row r="12" spans="1:7" ht="14.25" x14ac:dyDescent="0.2">
      <c r="A12" s="289" t="s">
        <v>287</v>
      </c>
      <c r="B12" s="290" t="s">
        <v>280</v>
      </c>
      <c r="C12" s="205">
        <v>3693</v>
      </c>
    </row>
    <row r="13" spans="1:7" ht="14.25" x14ac:dyDescent="0.2">
      <c r="A13" s="204" t="s">
        <v>288</v>
      </c>
      <c r="B13" s="291" t="s">
        <v>285</v>
      </c>
      <c r="C13" s="292">
        <f>0.0362741*C12^0.2336249</f>
        <v>0.24718680262953982</v>
      </c>
    </row>
    <row r="14" spans="1:7" ht="14.25" x14ac:dyDescent="0.2">
      <c r="A14" s="204" t="s">
        <v>289</v>
      </c>
      <c r="B14" s="291" t="s">
        <v>286</v>
      </c>
      <c r="C14" s="293">
        <f>C12*C13/1000</f>
        <v>0.91286086211089057</v>
      </c>
    </row>
    <row r="15" spans="1:7" ht="14.25" x14ac:dyDescent="0.2">
      <c r="A15" s="204" t="s">
        <v>295</v>
      </c>
      <c r="B15" s="291" t="s">
        <v>281</v>
      </c>
      <c r="C15" s="294">
        <f>(C14*30)</f>
        <v>27.385825863326716</v>
      </c>
    </row>
    <row r="16" spans="1:7" ht="14.25" x14ac:dyDescent="0.2">
      <c r="A16" s="204" t="s">
        <v>291</v>
      </c>
      <c r="B16" s="291" t="s">
        <v>98</v>
      </c>
      <c r="C16" s="297">
        <v>3</v>
      </c>
    </row>
    <row r="17" spans="1:3" ht="14.25" x14ac:dyDescent="0.2">
      <c r="A17" s="204" t="s">
        <v>290</v>
      </c>
      <c r="B17" s="291" t="s">
        <v>286</v>
      </c>
      <c r="C17" s="293">
        <f>IFERROR(C14*7/C16,0)</f>
        <v>2.1300086782587448</v>
      </c>
    </row>
    <row r="18" spans="1:3" ht="14.25" x14ac:dyDescent="0.2">
      <c r="A18" s="289" t="s">
        <v>282</v>
      </c>
      <c r="B18" s="291" t="s">
        <v>283</v>
      </c>
      <c r="C18" s="228">
        <v>500</v>
      </c>
    </row>
    <row r="19" spans="1:3" ht="14.25" x14ac:dyDescent="0.2">
      <c r="A19" s="204" t="s">
        <v>296</v>
      </c>
      <c r="B19" s="291"/>
      <c r="C19" s="205">
        <v>1</v>
      </c>
    </row>
    <row r="20" spans="1:3" ht="14.25" x14ac:dyDescent="0.2">
      <c r="A20" s="289" t="s">
        <v>297</v>
      </c>
      <c r="B20" s="291" t="s">
        <v>284</v>
      </c>
      <c r="C20" s="205">
        <v>15</v>
      </c>
    </row>
    <row r="21" spans="1:3" ht="14.25" x14ac:dyDescent="0.2">
      <c r="A21" s="204" t="s">
        <v>292</v>
      </c>
      <c r="B21" s="291" t="s">
        <v>281</v>
      </c>
      <c r="C21" s="228">
        <f>IF(AND(C20&gt;=15,C19=1),5.8,C20/2)</f>
        <v>5.8</v>
      </c>
    </row>
    <row r="22" spans="1:3" ht="14.25" x14ac:dyDescent="0.2">
      <c r="A22" s="289" t="s">
        <v>293</v>
      </c>
      <c r="B22" s="291"/>
      <c r="C22" s="293">
        <f>IFERROR(C17/C21,0)</f>
        <v>0.36724287556185259</v>
      </c>
    </row>
    <row r="23" spans="1:3" ht="14.25" x14ac:dyDescent="0.2">
      <c r="A23" s="289" t="s">
        <v>300</v>
      </c>
      <c r="B23" s="291"/>
      <c r="C23" s="302">
        <v>1</v>
      </c>
    </row>
    <row r="24" spans="1:3" ht="15" thickBot="1" x14ac:dyDescent="0.25">
      <c r="A24" s="295" t="s">
        <v>294</v>
      </c>
      <c r="B24" s="296"/>
      <c r="C24" s="298">
        <f>IFERROR(C22/C23,0)</f>
        <v>0.36724287556185259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Licitações</cp:lastModifiedBy>
  <cp:lastPrinted>2017-08-10T17:29:27Z</cp:lastPrinted>
  <dcterms:created xsi:type="dcterms:W3CDTF">2000-12-13T10:02:50Z</dcterms:created>
  <dcterms:modified xsi:type="dcterms:W3CDTF">2020-07-14T12:02:37Z</dcterms:modified>
</cp:coreProperties>
</file>