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esktop\LIXO\FINALIZADA\"/>
    </mc:Choice>
  </mc:AlternateContent>
  <xr:revisionPtr revIDLastSave="0" documentId="13_ncr:1_{02238809-AFAD-45C3-8C06-CDB08AB43556}" xr6:coauthVersionLast="47" xr6:coauthVersionMax="47" xr10:uidLastSave="{00000000-0000-0000-0000-000000000000}"/>
  <bookViews>
    <workbookView xWindow="-120" yWindow="-120" windowWidth="20730" windowHeight="11160" tabRatio="802" xr2:uid="{00000000-000D-0000-FFFF-FFFF00000000}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externalReferences>
    <externalReference r:id="rId8"/>
  </externalReferences>
  <definedNames>
    <definedName name="AbaDeprec">'5. Depreciação'!$A$1</definedName>
    <definedName name="AbaRemun">'6.Remuneração de capital'!$A$1</definedName>
    <definedName name="_xlnm.Print_Area" localSheetId="0">'1. Coleta Domiciliar'!$A$1:$F$285</definedName>
    <definedName name="_xlnm.Print_Area" localSheetId="1">'2.Encargos Sociais'!$A$1:$C$36</definedName>
    <definedName name="_xlnm.Print_Titles" localSheetId="0">'1. Coleta Domiciliar'!$1:$1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2" i="2" l="1"/>
  <c r="E110" i="2"/>
  <c r="E83" i="2"/>
  <c r="D196" i="2"/>
  <c r="D241" i="2"/>
  <c r="E137" i="2" l="1"/>
  <c r="E136" i="2"/>
  <c r="E135" i="2"/>
  <c r="E134" i="2"/>
  <c r="E133" i="2"/>
  <c r="E132" i="2"/>
  <c r="E131" i="2"/>
  <c r="E130" i="2"/>
  <c r="E129" i="2"/>
  <c r="E128" i="2"/>
  <c r="E127" i="2"/>
  <c r="D259" i="2"/>
  <c r="E259" i="2" s="1"/>
  <c r="C228" i="2"/>
  <c r="D227" i="2"/>
  <c r="D226" i="2" s="1"/>
  <c r="E226" i="2" s="1"/>
  <c r="D225" i="2"/>
  <c r="E225" i="2" s="1"/>
  <c r="D214" i="2"/>
  <c r="D212" i="2"/>
  <c r="D210" i="2"/>
  <c r="D208" i="2"/>
  <c r="D206" i="2"/>
  <c r="C229" i="2"/>
  <c r="C165" i="2"/>
  <c r="C170" i="2"/>
  <c r="D103" i="2"/>
  <c r="C103" i="2"/>
  <c r="D62" i="2"/>
  <c r="E62" i="2" s="1"/>
  <c r="C17" i="8"/>
  <c r="E50" i="2"/>
  <c r="D51" i="2"/>
  <c r="E51" i="2" s="1"/>
  <c r="C10" i="9"/>
  <c r="D178" i="2"/>
  <c r="E178" i="2" s="1"/>
  <c r="D109" i="2"/>
  <c r="D104" i="2"/>
  <c r="D78" i="2"/>
  <c r="E78" i="2" s="1"/>
  <c r="E55" i="2"/>
  <c r="A27" i="2"/>
  <c r="E262" i="2"/>
  <c r="C195" i="2"/>
  <c r="C194" i="2"/>
  <c r="C196" i="2"/>
  <c r="E196" i="2" s="1"/>
  <c r="A28" i="2"/>
  <c r="A26" i="2"/>
  <c r="A25" i="2"/>
  <c r="A17" i="2"/>
  <c r="A16" i="2"/>
  <c r="A8" i="2"/>
  <c r="C18" i="9"/>
  <c r="C11" i="9"/>
  <c r="C14" i="9" s="1"/>
  <c r="E37" i="2"/>
  <c r="C111" i="2" s="1"/>
  <c r="E111" i="2" s="1"/>
  <c r="E35" i="2"/>
  <c r="C138" i="2" s="1"/>
  <c r="C189" i="2"/>
  <c r="C184" i="2"/>
  <c r="D144" i="2"/>
  <c r="D76" i="2"/>
  <c r="E76" i="2" s="1"/>
  <c r="D88" i="2"/>
  <c r="A24" i="2"/>
  <c r="A23" i="2"/>
  <c r="A22" i="2"/>
  <c r="A21" i="2"/>
  <c r="A20" i="2"/>
  <c r="A19" i="2"/>
  <c r="A18" i="2"/>
  <c r="A15" i="2"/>
  <c r="A14" i="2"/>
  <c r="A13" i="2"/>
  <c r="A12" i="2"/>
  <c r="A11" i="2"/>
  <c r="A10" i="2"/>
  <c r="A9" i="2"/>
  <c r="E254" i="2"/>
  <c r="E198" i="2"/>
  <c r="E152" i="2"/>
  <c r="E139" i="2"/>
  <c r="E118" i="2"/>
  <c r="E70" i="2"/>
  <c r="E58" i="2"/>
  <c r="C13" i="4"/>
  <c r="C18" i="4" s="1"/>
  <c r="C271" i="2" s="1"/>
  <c r="F11" i="4"/>
  <c r="E11" i="4"/>
  <c r="D11" i="4"/>
  <c r="C14" i="8"/>
  <c r="C34" i="5"/>
  <c r="C29" i="5"/>
  <c r="C28" i="8" s="1"/>
  <c r="C28" i="5"/>
  <c r="C27" i="8" s="1"/>
  <c r="C92" i="2"/>
  <c r="C90" i="2"/>
  <c r="D90" i="2"/>
  <c r="E90" i="2" s="1"/>
  <c r="E74" i="2"/>
  <c r="C227" i="2"/>
  <c r="D183" i="2"/>
  <c r="C171" i="2"/>
  <c r="C166" i="2"/>
  <c r="C64" i="2"/>
  <c r="C252" i="2"/>
  <c r="E252" i="2" s="1"/>
  <c r="D253" i="2" s="1"/>
  <c r="E253" i="2" s="1"/>
  <c r="C167" i="2"/>
  <c r="C183" i="2"/>
  <c r="E183" i="2" s="1"/>
  <c r="A34" i="2"/>
  <c r="A35" i="2"/>
  <c r="A36" i="2"/>
  <c r="A37" i="2"/>
  <c r="A41" i="2"/>
  <c r="C65" i="2"/>
  <c r="A109" i="2"/>
  <c r="A116" i="2" s="1"/>
  <c r="A111" i="2"/>
  <c r="A117" i="2" s="1"/>
  <c r="D145" i="2"/>
  <c r="E145" i="2" s="1"/>
  <c r="D146" i="2"/>
  <c r="E146" i="2" s="1"/>
  <c r="D147" i="2"/>
  <c r="E147" i="2" s="1"/>
  <c r="D148" i="2"/>
  <c r="E148" i="2" s="1"/>
  <c r="D149" i="2"/>
  <c r="E149" i="2" s="1"/>
  <c r="E150" i="2"/>
  <c r="E195" i="2"/>
  <c r="E238" i="2"/>
  <c r="E241" i="2"/>
  <c r="E242" i="2"/>
  <c r="E239" i="2"/>
  <c r="E240" i="2"/>
  <c r="D92" i="2"/>
  <c r="C39" i="5"/>
  <c r="C16" i="8" s="1"/>
  <c r="E87" i="2"/>
  <c r="E167" i="2"/>
  <c r="C185" i="2" s="1"/>
  <c r="E250" i="2"/>
  <c r="D251" i="2" s="1"/>
  <c r="E251" i="2" s="1"/>
  <c r="K36" i="5"/>
  <c r="K37" i="5"/>
  <c r="K38" i="5"/>
  <c r="K39" i="5"/>
  <c r="K40" i="5" s="1"/>
  <c r="K41" i="5" s="1"/>
  <c r="K35" i="5" l="1"/>
  <c r="G28" i="5"/>
  <c r="E37" i="5"/>
  <c r="C37" i="5" s="1"/>
  <c r="D52" i="2"/>
  <c r="E52" i="2" s="1"/>
  <c r="D64" i="2"/>
  <c r="E64" i="2" s="1"/>
  <c r="C206" i="2"/>
  <c r="C214" i="2" s="1"/>
  <c r="E214" i="2" s="1"/>
  <c r="E92" i="2"/>
  <c r="E93" i="2" s="1"/>
  <c r="D94" i="2" s="1"/>
  <c r="E103" i="2"/>
  <c r="D138" i="2"/>
  <c r="E138" i="2" s="1"/>
  <c r="F139" i="2" s="1"/>
  <c r="C220" i="2"/>
  <c r="E220" i="2" s="1"/>
  <c r="F221" i="2" s="1"/>
  <c r="E23" i="2" s="1"/>
  <c r="D260" i="2"/>
  <c r="E260" i="2" s="1"/>
  <c r="D261" i="2" s="1"/>
  <c r="E261" i="2" s="1"/>
  <c r="F262" i="2" s="1"/>
  <c r="F264" i="2" s="1"/>
  <c r="E27" i="2" s="1"/>
  <c r="E227" i="2"/>
  <c r="D228" i="2" s="1"/>
  <c r="E228" i="2" s="1"/>
  <c r="D229" i="2" s="1"/>
  <c r="E229" i="2" s="1"/>
  <c r="F230" i="2" s="1"/>
  <c r="C151" i="2"/>
  <c r="E38" i="2"/>
  <c r="F243" i="2"/>
  <c r="F245" i="2" s="1"/>
  <c r="E25" i="2" s="1"/>
  <c r="D215" i="2"/>
  <c r="C19" i="9"/>
  <c r="C21" i="9" s="1"/>
  <c r="C22" i="8"/>
  <c r="C31" i="8" s="1"/>
  <c r="E162" i="2"/>
  <c r="C117" i="2"/>
  <c r="E117" i="2" s="1"/>
  <c r="E79" i="2"/>
  <c r="D80" i="2" s="1"/>
  <c r="E104" i="2"/>
  <c r="F105" i="2" s="1"/>
  <c r="E13" i="2" s="1"/>
  <c r="E53" i="2"/>
  <c r="F254" i="2"/>
  <c r="F256" i="2" s="1"/>
  <c r="E26" i="2" s="1"/>
  <c r="D65" i="2"/>
  <c r="E65" i="2" s="1"/>
  <c r="E66" i="2" s="1"/>
  <c r="E144" i="2"/>
  <c r="C109" i="2"/>
  <c r="E109" i="2" s="1"/>
  <c r="F112" i="2" s="1"/>
  <c r="E14" i="2" s="1"/>
  <c r="C25" i="8"/>
  <c r="C12" i="9"/>
  <c r="C116" i="2"/>
  <c r="E116" i="2" s="1"/>
  <c r="D170" i="2"/>
  <c r="E170" i="2" s="1"/>
  <c r="D171" i="2" s="1"/>
  <c r="F118" i="2" l="1"/>
  <c r="F37" i="5"/>
  <c r="G37" i="5" s="1"/>
  <c r="D37" i="5"/>
  <c r="D38" i="5" s="1"/>
  <c r="C38" i="5" s="1"/>
  <c r="C24" i="8" s="1"/>
  <c r="E206" i="2"/>
  <c r="C208" i="2"/>
  <c r="E208" i="2" s="1"/>
  <c r="C212" i="2"/>
  <c r="E212" i="2" s="1"/>
  <c r="C210" i="2"/>
  <c r="E210" i="2" s="1"/>
  <c r="F216" i="2"/>
  <c r="E22" i="2" s="1"/>
  <c r="E151" i="2"/>
  <c r="F152" i="2" s="1"/>
  <c r="D151" i="2"/>
  <c r="F154" i="2"/>
  <c r="E16" i="2" s="1"/>
  <c r="D165" i="2"/>
  <c r="E165" i="2" s="1"/>
  <c r="D166" i="2" s="1"/>
  <c r="D194" i="2"/>
  <c r="E194" i="2" s="1"/>
  <c r="D197" i="2" s="1"/>
  <c r="E197" i="2" s="1"/>
  <c r="F198" i="2" s="1"/>
  <c r="E21" i="2" s="1"/>
  <c r="C180" i="2"/>
  <c r="E15" i="2"/>
  <c r="D67" i="2"/>
  <c r="E24" i="2"/>
  <c r="E171" i="2"/>
  <c r="D54" i="2"/>
  <c r="C186" i="2"/>
  <c r="D187" i="2" s="1"/>
  <c r="E187" i="2" s="1"/>
  <c r="C26" i="8" l="1"/>
  <c r="C29" i="8" s="1"/>
  <c r="C32" i="8"/>
  <c r="C33" i="8" s="1"/>
  <c r="C34" i="8" s="1"/>
  <c r="G32" i="5"/>
  <c r="G38" i="5"/>
  <c r="C181" i="2"/>
  <c r="D182" i="2" s="1"/>
  <c r="E182" i="2" s="1"/>
  <c r="E188" i="2" s="1"/>
  <c r="D189" i="2" s="1"/>
  <c r="E189" i="2" s="1"/>
  <c r="F190" i="2" s="1"/>
  <c r="E20" i="2" s="1"/>
  <c r="E166" i="2"/>
  <c r="E172" i="2" s="1"/>
  <c r="D173" i="2" s="1"/>
  <c r="E173" i="2" s="1"/>
  <c r="F174" i="2" s="1"/>
  <c r="E19" i="2" s="1"/>
  <c r="E18" i="2" l="1"/>
  <c r="F233" i="2"/>
  <c r="E17" i="2" s="1"/>
  <c r="C94" i="2"/>
  <c r="E94" i="2" s="1"/>
  <c r="E95" i="2" s="1"/>
  <c r="D96" i="2" s="1"/>
  <c r="E96" i="2" s="1"/>
  <c r="F97" i="2" s="1"/>
  <c r="C54" i="2"/>
  <c r="E54" i="2" s="1"/>
  <c r="E56" i="2" s="1"/>
  <c r="D57" i="2" s="1"/>
  <c r="E57" i="2" s="1"/>
  <c r="F58" i="2" s="1"/>
  <c r="E9" i="2" s="1"/>
  <c r="C80" i="2"/>
  <c r="E80" i="2" s="1"/>
  <c r="E81" i="2" s="1"/>
  <c r="D82" i="2" s="1"/>
  <c r="E82" i="2" s="1"/>
  <c r="F83" i="2" s="1"/>
  <c r="E11" i="2" s="1"/>
  <c r="C67" i="2"/>
  <c r="E67" i="2" s="1"/>
  <c r="E68" i="2" s="1"/>
  <c r="D69" i="2" s="1"/>
  <c r="E69" i="2" s="1"/>
  <c r="F70" i="2" s="1"/>
  <c r="E10" i="2" s="1"/>
  <c r="E12" i="2" l="1"/>
  <c r="F120" i="2"/>
  <c r="E8" i="2" l="1"/>
  <c r="F266" i="2"/>
  <c r="D271" i="2" l="1"/>
  <c r="E271" i="2" s="1"/>
  <c r="F272" i="2" s="1"/>
  <c r="F274" i="2" s="1"/>
  <c r="E28" i="2" s="1"/>
  <c r="E29" i="2" s="1"/>
  <c r="F277" i="2" l="1"/>
  <c r="F17" i="2"/>
  <c r="F25" i="2"/>
  <c r="F16" i="2"/>
  <c r="F10" i="2"/>
  <c r="F11" i="2"/>
  <c r="F8" i="2"/>
  <c r="F26" i="2"/>
  <c r="F15" i="2"/>
  <c r="F13" i="2"/>
  <c r="F22" i="2"/>
  <c r="F24" i="2"/>
  <c r="F20" i="2"/>
  <c r="F18" i="2"/>
  <c r="F27" i="2"/>
  <c r="F23" i="2"/>
  <c r="F14" i="2"/>
  <c r="F19" i="2"/>
  <c r="F12" i="2"/>
  <c r="F21" i="2"/>
  <c r="F9" i="2"/>
  <c r="F28" i="2"/>
  <c r="C281" i="2" l="1"/>
  <c r="F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1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7" authorId="0" shapeId="0" xr:uid="{00000000-0006-0000-0000-000006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3" authorId="0" shapeId="0" xr:uid="{00000000-0006-0000-0000-000007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4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5" authorId="0" shapeId="0" xr:uid="{00000000-0006-0000-0000-00000B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6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7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78" authorId="0" shapeId="0" xr:uid="{00000000-0006-0000-0000-00000E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0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2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89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1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4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6" authorId="0" shapeId="0" xr:uid="{00000000-0006-0000-0000-000014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01" authorId="0" shapeId="0" xr:uid="{00000000-0006-0000-0000-000015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02" authorId="0" shapeId="0" xr:uid="{00000000-0006-0000-0000-000016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03" authorId="0" shapeId="0" xr:uid="{00000000-0006-0000-0000-000017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0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09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111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116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117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127" authorId="0" shapeId="0" xr:uid="{354C9BAE-29FF-48D9-B0E2-0AB9C10C8F17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7" authorId="0" shapeId="0" xr:uid="{2C191C3D-6D18-45D1-A201-43105AD0F70E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8" authorId="0" shapeId="0" xr:uid="{BC823F82-42A4-4F0D-8E79-20B6FAE01B2C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8" authorId="0" shapeId="0" xr:uid="{AFA5CF53-6199-46E1-BCC2-0AA75FFBF3BA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9" authorId="0" shapeId="0" xr:uid="{9B19CA71-F2E4-411B-9A70-86E96179E30A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9" authorId="0" shapeId="0" xr:uid="{68CA5D70-1F94-47C9-ABD3-C6A3C5075423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0" authorId="0" shapeId="0" xr:uid="{C38540B2-209D-4921-B7D7-0BF41139EB5D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0" authorId="0" shapeId="0" xr:uid="{A8506671-B402-4A6C-9755-A563AC65E5A8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1" authorId="0" shapeId="0" xr:uid="{062D2493-D9C0-4EE7-B191-2D9F804E1872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1" authorId="0" shapeId="0" xr:uid="{6A1251B4-B317-4C5C-A71B-5F1A22A842C4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2" authorId="0" shapeId="0" xr:uid="{B3D7D12C-8A39-4FA4-AAA1-20F2BBB51FFC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2" authorId="0" shapeId="0" xr:uid="{5CD7815E-A388-413B-B841-4162BC592BCA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3" authorId="0" shapeId="0" xr:uid="{BAC3B4A2-7970-4CF7-8542-725CCD01DB66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3" authorId="0" shapeId="0" xr:uid="{F2CF815A-63C2-48CA-A935-4B7EF26C7C16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4" authorId="0" shapeId="0" xr:uid="{20777668-789D-4F58-924A-B8E3DFA3A21E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4" authorId="0" shapeId="0" xr:uid="{7FDDB234-9F06-47A5-BA9E-FB4139BFF0F1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5" authorId="0" shapeId="0" xr:uid="{B6A12599-2C48-44D7-9D45-EE9141A2CB67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5" authorId="0" shapeId="0" xr:uid="{057C5EDA-908D-49DA-BF4B-1D7E7334F52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6" authorId="0" shapeId="0" xr:uid="{F2EC3A1F-6C51-419C-9161-F7F360F47E3E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6" authorId="0" shapeId="0" xr:uid="{C2D4C9FE-1255-4B22-B236-7B1DB88ABC54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37" authorId="0" shapeId="0" xr:uid="{B1981ECC-60F2-40A7-AC70-68E5472DF8EE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44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5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6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7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8" authorId="0" shapeId="0" xr:uid="{00000000-0006-0000-0000-000036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9" authorId="0" shapeId="0" xr:uid="{00000000-0006-0000-0000-00003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0" authorId="0" shapeId="0" xr:uid="{00000000-0006-0000-0000-000038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62" authorId="0" shapeId="0" xr:uid="{00000000-0006-0000-0000-000039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63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64" authorId="0" shapeId="0" xr:uid="{00000000-0006-0000-0000-00003B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65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68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69" authorId="0" shapeId="0" xr:uid="{00000000-0006-0000-0000-00003F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70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3" authorId="0" shapeId="0" xr:uid="{00000000-0006-0000-0000-000041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79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96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202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05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05" authorId="0" shapeId="0" xr:uid="{DFA5EB44-4EC9-4F85-ABA0-FB270902B6F3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07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07" authorId="0" shapeId="0" xr:uid="{2AD29333-C368-452F-837B-21EC9DA8111D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09" authorId="0" shapeId="0" xr:uid="{00000000-0006-0000-0000-00004A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09" authorId="0" shapeId="0" xr:uid="{F8919AC5-9CB1-4595-8CC0-F4A946D79F7A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11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11" authorId="0" shapeId="0" xr:uid="{A8EEB558-9E49-43E6-A724-2FCB8EF51C41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3" authorId="0" shapeId="0" xr:uid="{00000000-0006-0000-0000-00004E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13" authorId="0" shapeId="0" xr:uid="{462B79AA-C4D1-4229-9E67-1CE499EB40F9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20" authorId="0" shapeId="0" xr:uid="{00000000-0006-0000-0000-000050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25" authorId="0" shapeId="0" xr:uid="{00000000-0006-0000-0000-000051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25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26" authorId="0" shapeId="0" xr:uid="{00000000-0006-0000-0000-000053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27" authorId="0" shapeId="0" xr:uid="{00000000-0006-0000-0000-000054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28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38" authorId="0" shapeId="0" xr:uid="{00000000-0006-0000-0000-00005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8" authorId="0" shapeId="0" xr:uid="{00000000-0006-0000-0000-000057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39" authorId="0" shapeId="0" xr:uid="{00000000-0006-0000-0000-000058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9" authorId="0" shapeId="0" xr:uid="{00000000-0006-0000-0000-000059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0" authorId="0" shapeId="0" xr:uid="{00000000-0006-0000-0000-00005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0" authorId="0" shapeId="0" xr:uid="{00000000-0006-0000-0000-00005B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1" authorId="0" shapeId="0" xr:uid="{00000000-0006-0000-0000-00005C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1" authorId="0" shapeId="0" xr:uid="{00000000-0006-0000-0000-00005D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2" authorId="0" shapeId="0" xr:uid="{00000000-0006-0000-0000-00005E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2" authorId="0" shapeId="0" xr:uid="{00000000-0006-0000-0000-00005F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47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0" authorId="0" shapeId="0" xr:uid="{00000000-0006-0000-0000-000061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52" authorId="0" shapeId="0" xr:uid="{00000000-0006-0000-0000-000062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D259" authorId="0" shapeId="0" xr:uid="{00000000-0006-0000-0000-000063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61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71" authorId="0" shapeId="0" xr:uid="{00000000-0006-0000-0000-000065000000}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80" authorId="0" shapeId="0" xr:uid="{00000000-0006-0000-0000-000066000000}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Mesquita</author>
  </authors>
  <commentList>
    <comment ref="G3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9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6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<sst xmlns="http://schemas.openxmlformats.org/spreadsheetml/2006/main" count="566" uniqueCount="319">
  <si>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</si>
  <si>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</si>
  <si>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</si>
  <si>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</si>
  <si>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</si>
  <si>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</si>
  <si>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</si>
  <si>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</si>
  <si>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</si>
  <si>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</si>
  <si>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</si>
  <si>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</si>
  <si>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</si>
  <si>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</si>
  <si>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</si>
  <si>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</si>
  <si>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</si>
  <si>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</si>
  <si>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</si>
  <si>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</si>
  <si>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</si>
  <si>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</si>
  <si>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</si>
  <si>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</si>
  <si>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</si>
  <si>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</si>
  <si>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</si>
  <si>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</si>
  <si>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</si>
  <si>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</si>
  <si>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</si>
  <si>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</si>
  <si>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</si>
  <si>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R$</t>
  </si>
  <si>
    <t>Horas Extras (100%)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</si>
  <si>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</si>
  <si>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</si>
  <si>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</si>
  <si>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</si>
  <si>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</si>
  <si>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</si>
  <si>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</si>
  <si>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</si>
  <si>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</si>
  <si>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</si>
  <si>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</si>
  <si>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</si>
  <si>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</si>
  <si>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</si>
  <si>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</si>
  <si>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</si>
  <si>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</si>
  <si>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</si>
  <si>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</si>
  <si>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</si>
  <si>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</si>
  <si>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</si>
  <si>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</si>
  <si>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</si>
  <si>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</si>
  <si>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</si>
  <si>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</si>
  <si>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</si>
  <si>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</si>
  <si>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</si>
  <si>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</si>
  <si>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</si>
  <si>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</si>
  <si>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</si>
  <si>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</si>
  <si>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</si>
  <si>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</si>
  <si>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</si>
  <si>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</si>
  <si>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</si>
  <si>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</si>
  <si>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</si>
  <si>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</si>
  <si>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</si>
  <si>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</si>
  <si>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</si>
  <si>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</si>
  <si>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</si>
  <si>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</si>
  <si>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</si>
  <si>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</si>
  <si>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</si>
  <si>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</si>
  <si>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</si>
  <si>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</si>
  <si>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</si>
  <si>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</si>
  <si>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</si>
  <si>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</si>
  <si>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</si>
  <si>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</si>
  <si>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</si>
  <si>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</si>
  <si>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1.1. Coletor Turno Dia</t>
  </si>
  <si>
    <t>1.3. Motorista Turno do Dia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</si>
  <si>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</si>
  <si>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</si>
  <si>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</si>
  <si>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</si>
  <si>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</si>
  <si>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</si>
  <si>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</si>
  <si>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</si>
  <si>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</si>
  <si>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</si>
  <si>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</si>
  <si>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</si>
  <si>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</si>
  <si>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</si>
  <si>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</si>
  <si>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</si>
  <si>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</si>
  <si>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</si>
  <si>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</si>
  <si>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</si>
  <si>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</si>
  <si>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</si>
  <si>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</si>
  <si>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</si>
  <si>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</si>
  <si>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</si>
  <si>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</si>
  <si>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</si>
  <si>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</si>
  <si>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</si>
  <si>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</si>
  <si>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</si>
  <si>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</si>
  <si>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</si>
  <si>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</si>
  <si>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</si>
  <si>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</si>
  <si>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</si>
  <si>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</si>
  <si>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</si>
  <si>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</si>
  <si>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</si>
  <si>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</si>
  <si>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</si>
  <si>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</si>
  <si>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</si>
  <si>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</si>
  <si>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</si>
  <si>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</si>
  <si>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</si>
  <si>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</si>
  <si>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</si>
  <si>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</si>
  <si>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</si>
  <si>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</si>
  <si>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</si>
  <si>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</si>
  <si>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</si>
  <si>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</si>
  <si>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</si>
  <si>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</si>
  <si>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</si>
  <si>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</si>
  <si>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</si>
  <si>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</si>
  <si>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</si>
  <si>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</si>
  <si>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</si>
  <si>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</si>
  <si>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</si>
  <si>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</si>
  <si>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</si>
  <si>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</si>
  <si>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</si>
  <si>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</si>
  <si>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</si>
  <si>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</si>
  <si>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</si>
  <si>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</si>
  <si>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</si>
  <si>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</si>
  <si>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</si>
  <si>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</si>
  <si>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</si>
  <si>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</si>
  <si>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</si>
  <si>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</si>
  <si>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</si>
  <si>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</si>
  <si>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</si>
  <si>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</si>
  <si>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</si>
  <si>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</si>
  <si>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</si>
  <si>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</si>
  <si>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</si>
  <si>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</si>
  <si>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</si>
  <si>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</si>
  <si>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</si>
  <si>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</si>
  <si>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</si>
  <si>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</si>
  <si>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</si>
  <si>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</si>
  <si>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</si>
  <si>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</si>
  <si>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</si>
  <si>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</si>
  <si>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</si>
  <si>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</si>
  <si>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</si>
  <si>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</si>
  <si>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</si>
  <si>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</si>
  <si>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</si>
  <si>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</si>
  <si>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</si>
  <si>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</si>
  <si>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</si>
  <si>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</si>
  <si>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</si>
  <si>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</si>
  <si>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</si>
  <si>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</si>
  <si>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Salário mínimo nacional</t>
  </si>
  <si>
    <t>Base de cálculo da Insalubridade</t>
  </si>
  <si>
    <t>Piso da categoria (1)</t>
  </si>
  <si>
    <t>Salário mínimo nacional (2)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</si>
  <si>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</si>
  <si>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</si>
  <si>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</si>
  <si>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</si>
  <si>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</si>
  <si>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</si>
  <si>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</si>
  <si>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</si>
  <si>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</si>
  <si>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</si>
  <si>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</si>
  <si>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</si>
  <si>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</si>
  <si>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</si>
  <si>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</si>
  <si>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</si>
  <si>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</si>
  <si>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</si>
  <si>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</si>
  <si>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</si>
  <si>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</si>
  <si>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</si>
  <si>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</si>
  <si>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</si>
  <si>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</si>
  <si>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</si>
  <si>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</si>
  <si>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</si>
  <si>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</si>
  <si>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</si>
  <si>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</si>
  <si>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</si>
  <si>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</si>
  <si>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</si>
  <si>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</si>
  <si>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</si>
  <si>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</si>
  <si>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</si>
  <si>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</si>
  <si>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</si>
  <si>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</si>
  <si>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</si>
  <si>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Estoque recuperado início do Período 01-09-2016</t>
  </si>
  <si>
    <t>Estoque recuperado final do Período 31-08-2017</t>
  </si>
  <si>
    <t>Variação Emprego Absoluta de 01-09-2016 a 31-08-2017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</si>
  <si>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</si>
  <si>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</si>
  <si>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</si>
  <si>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</si>
  <si>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</si>
  <si>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</si>
  <si>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</si>
  <si>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</si>
  <si>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</si>
  <si>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</si>
  <si>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</si>
  <si>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</si>
  <si>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</si>
  <si>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</si>
  <si>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</si>
  <si>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</si>
  <si>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</si>
  <si>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</si>
  <si>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</si>
  <si>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</si>
  <si>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</si>
  <si>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</si>
  <si>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</si>
  <si>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</si>
  <si>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</si>
  <si>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</si>
  <si>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</si>
  <si>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Custo do jogo de pneus </t>
  </si>
  <si>
    <t>6 - Conteineres</t>
  </si>
  <si>
    <t>Custo do conteineres 1000 l</t>
  </si>
  <si>
    <t>Reposição de Conteineres</t>
  </si>
  <si>
    <t>Distribuição nos meses</t>
  </si>
  <si>
    <t>Custo Mensal com coleta conteinerizada (R$/mês)</t>
  </si>
  <si>
    <t>7. Benefícios e Despesas Indiretas - BDI</t>
  </si>
  <si>
    <t>Plano Bem Social</t>
  </si>
  <si>
    <t xml:space="preserve">1. Coleta, Transporte, Triagem e Transporte para Destino Final dos Resíduos Sólidos </t>
  </si>
  <si>
    <t>Planilha de Composição de Custos (BAIXA TEMPORADA)</t>
  </si>
  <si>
    <t>Coleta e Transporte ida e volta 3x por semana até o destino final.</t>
  </si>
  <si>
    <t>Custo total por tonelada Alta Temporada</t>
  </si>
  <si>
    <r>
      <t>3.1. Veículo Coletor Compactador</t>
    </r>
    <r>
      <rPr>
        <sz val="10"/>
        <color indexed="10"/>
        <rFont val="Arial"/>
        <family val="2"/>
      </rPr>
      <t xml:space="preserve"> 19</t>
    </r>
    <r>
      <rPr>
        <sz val="10"/>
        <rFont val="Arial"/>
        <family val="2"/>
      </rPr>
      <t xml:space="preserve"> m³</t>
    </r>
  </si>
  <si>
    <t>Tênis para corrida Normatizado</t>
  </si>
  <si>
    <t>Luva de proteção Normatizada</t>
  </si>
  <si>
    <t>1.4. Encarregado</t>
  </si>
  <si>
    <t>Encarregado</t>
  </si>
  <si>
    <t>Contando o desvio pela ponte do velhaco. Ponte interditada na 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</si>
</sst>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7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4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4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4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4" applyFont="1" applyAlignment="1">
      <alignment horizontal="center" vertical="center"/>
    </xf>
    <xf numFmtId="166" fontId="3" fillId="2" borderId="3" xfId="4" applyFont="1" applyFill="1" applyBorder="1" applyAlignment="1">
      <alignment horizontal="center" vertical="center"/>
    </xf>
    <xf numFmtId="166" fontId="3" fillId="2" borderId="3" xfId="4" applyFont="1" applyFill="1" applyBorder="1" applyAlignment="1">
      <alignment vertical="center"/>
    </xf>
    <xf numFmtId="166" fontId="3" fillId="0" borderId="0" xfId="4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6" fontId="3" fillId="0" borderId="5" xfId="4" applyFont="1" applyBorder="1" applyAlignment="1">
      <alignment vertical="center"/>
    </xf>
    <xf numFmtId="166" fontId="3" fillId="0" borderId="6" xfId="4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6" fontId="6" fillId="0" borderId="5" xfId="4" applyFont="1" applyBorder="1" applyAlignment="1">
      <alignment vertical="center"/>
    </xf>
    <xf numFmtId="166" fontId="6" fillId="0" borderId="6" xfId="4" applyFont="1" applyBorder="1" applyAlignment="1">
      <alignment vertical="center"/>
    </xf>
    <xf numFmtId="166" fontId="3" fillId="0" borderId="0" xfId="4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4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4" applyFont="1" applyBorder="1" applyAlignment="1">
      <alignment vertical="center"/>
    </xf>
    <xf numFmtId="166" fontId="5" fillId="0" borderId="0" xfId="4" applyFont="1" applyAlignment="1">
      <alignment vertical="center"/>
    </xf>
    <xf numFmtId="167" fontId="6" fillId="0" borderId="1" xfId="4" applyNumberFormat="1" applyFont="1" applyBorder="1" applyAlignment="1">
      <alignment vertical="center"/>
    </xf>
    <xf numFmtId="166" fontId="6" fillId="0" borderId="0" xfId="4" applyFont="1"/>
    <xf numFmtId="166" fontId="4" fillId="0" borderId="0" xfId="4" applyFont="1" applyAlignment="1">
      <alignment vertical="center"/>
    </xf>
    <xf numFmtId="166" fontId="0" fillId="0" borderId="7" xfId="4" applyFont="1" applyBorder="1" applyAlignment="1">
      <alignment vertical="center"/>
    </xf>
    <xf numFmtId="166" fontId="3" fillId="0" borderId="8" xfId="4" applyFont="1" applyBorder="1" applyAlignment="1">
      <alignment horizontal="center" vertical="center"/>
    </xf>
    <xf numFmtId="166" fontId="3" fillId="0" borderId="4" xfId="4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Continuous" vertical="center"/>
    </xf>
    <xf numFmtId="166" fontId="3" fillId="0" borderId="0" xfId="4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4" applyFont="1" applyBorder="1" applyAlignment="1">
      <alignment vertical="center"/>
    </xf>
    <xf numFmtId="166" fontId="3" fillId="0" borderId="10" xfId="4" applyFont="1" applyBorder="1" applyAlignment="1">
      <alignment horizontal="right" vertical="center"/>
    </xf>
    <xf numFmtId="166" fontId="0" fillId="0" borderId="11" xfId="4" applyFont="1" applyBorder="1" applyAlignment="1">
      <alignment vertical="center"/>
    </xf>
    <xf numFmtId="166" fontId="6" fillId="0" borderId="1" xfId="4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4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4" applyFont="1" applyBorder="1" applyAlignment="1">
      <alignment vertical="center"/>
    </xf>
    <xf numFmtId="166" fontId="6" fillId="0" borderId="0" xfId="4" applyFont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66" fontId="13" fillId="2" borderId="13" xfId="4" applyFont="1" applyFill="1" applyBorder="1" applyAlignment="1">
      <alignment horizontal="center" vertical="center"/>
    </xf>
    <xf numFmtId="166" fontId="13" fillId="2" borderId="14" xfId="4" applyFont="1" applyFill="1" applyBorder="1" applyAlignment="1">
      <alignment horizontal="center" vertical="center"/>
    </xf>
    <xf numFmtId="166" fontId="3" fillId="0" borderId="15" xfId="4" applyFont="1" applyBorder="1" applyAlignment="1">
      <alignment horizontal="center" vertical="center"/>
    </xf>
    <xf numFmtId="166" fontId="1" fillId="0" borderId="11" xfId="4" applyFont="1" applyBorder="1" applyAlignment="1">
      <alignment horizontal="left" vertical="center"/>
    </xf>
    <xf numFmtId="166" fontId="6" fillId="0" borderId="9" xfId="4" applyFont="1" applyBorder="1" applyAlignment="1">
      <alignment vertical="center"/>
    </xf>
    <xf numFmtId="166" fontId="6" fillId="0" borderId="11" xfId="4" applyFont="1" applyBorder="1" applyAlignment="1">
      <alignment vertical="center"/>
    </xf>
    <xf numFmtId="167" fontId="6" fillId="0" borderId="0" xfId="4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6" xfId="4" applyNumberFormat="1" applyFont="1" applyBorder="1" applyAlignment="1">
      <alignment horizontal="center" vertical="center"/>
    </xf>
    <xf numFmtId="166" fontId="3" fillId="0" borderId="17" xfId="4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166" fontId="6" fillId="0" borderId="15" xfId="4" applyFont="1" applyBorder="1" applyAlignment="1">
      <alignment vertical="center"/>
    </xf>
    <xf numFmtId="166" fontId="6" fillId="0" borderId="7" xfId="4" applyFont="1" applyBorder="1" applyAlignment="1">
      <alignment vertical="center"/>
    </xf>
    <xf numFmtId="0" fontId="0" fillId="0" borderId="7" xfId="0" applyBorder="1" applyAlignment="1">
      <alignment vertical="center"/>
    </xf>
    <xf numFmtId="1" fontId="6" fillId="0" borderId="8" xfId="4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1" fontId="3" fillId="0" borderId="19" xfId="4" applyNumberFormat="1" applyFont="1" applyBorder="1" applyAlignment="1">
      <alignment horizontal="center" vertical="center"/>
    </xf>
    <xf numFmtId="166" fontId="12" fillId="0" borderId="1" xfId="4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3" xfId="4" applyNumberFormat="1" applyFont="1" applyFill="1" applyBorder="1" applyAlignment="1">
      <alignment horizontal="center" vertical="center"/>
    </xf>
    <xf numFmtId="166" fontId="6" fillId="0" borderId="1" xfId="4" applyFont="1" applyFill="1" applyBorder="1" applyAlignment="1">
      <alignment horizontal="center" vertical="center"/>
    </xf>
    <xf numFmtId="166" fontId="11" fillId="0" borderId="0" xfId="4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4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4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4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4" applyNumberFormat="1" applyFont="1" applyBorder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4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4" applyFont="1" applyBorder="1" applyAlignment="1">
      <alignment horizontal="center" vertical="center"/>
    </xf>
    <xf numFmtId="166" fontId="6" fillId="0" borderId="2" xfId="4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166" fontId="6" fillId="0" borderId="0" xfId="4" applyFont="1" applyFill="1" applyAlignment="1">
      <alignment vertical="center"/>
    </xf>
    <xf numFmtId="166" fontId="3" fillId="0" borderId="1" xfId="4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166" fontId="3" fillId="0" borderId="23" xfId="4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4" applyFont="1" applyAlignment="1">
      <alignment horizontal="center" vertical="center"/>
    </xf>
    <xf numFmtId="166" fontId="3" fillId="0" borderId="24" xfId="4" applyFont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4" applyFont="1" applyAlignment="1">
      <alignment horizontal="right" vertical="center"/>
    </xf>
    <xf numFmtId="166" fontId="3" fillId="2" borderId="6" xfId="4" applyFont="1" applyFill="1" applyBorder="1" applyAlignment="1">
      <alignment horizontal="center" vertical="center"/>
    </xf>
    <xf numFmtId="166" fontId="3" fillId="0" borderId="11" xfId="4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4" applyFont="1" applyBorder="1" applyAlignment="1">
      <alignment vertical="center"/>
    </xf>
    <xf numFmtId="10" fontId="3" fillId="0" borderId="25" xfId="3" applyNumberFormat="1" applyFont="1" applyBorder="1" applyAlignment="1">
      <alignment vertical="center"/>
    </xf>
    <xf numFmtId="166" fontId="3" fillId="0" borderId="26" xfId="4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27" xfId="4" applyFont="1" applyBorder="1" applyAlignment="1">
      <alignment vertical="center"/>
    </xf>
    <xf numFmtId="166" fontId="6" fillId="0" borderId="28" xfId="4" applyFont="1" applyBorder="1" applyAlignment="1">
      <alignment vertical="center"/>
    </xf>
    <xf numFmtId="166" fontId="6" fillId="0" borderId="29" xfId="4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" fontId="6" fillId="0" borderId="30" xfId="4" applyNumberFormat="1" applyFont="1" applyBorder="1" applyAlignment="1">
      <alignment horizontal="center" vertical="center"/>
    </xf>
    <xf numFmtId="166" fontId="3" fillId="0" borderId="11" xfId="4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4" borderId="1" xfId="4" applyFont="1" applyFill="1" applyBorder="1" applyAlignment="1">
      <alignment horizontal="center" vertical="center"/>
    </xf>
    <xf numFmtId="166" fontId="6" fillId="4" borderId="1" xfId="4" applyFont="1" applyFill="1" applyBorder="1" applyAlignment="1">
      <alignment vertical="center"/>
    </xf>
    <xf numFmtId="9" fontId="3" fillId="0" borderId="14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2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4" applyFont="1" applyFill="1" applyBorder="1" applyAlignment="1">
      <alignment vertical="center"/>
    </xf>
    <xf numFmtId="166" fontId="0" fillId="0" borderId="27" xfId="4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4" applyNumberFormat="1" applyFont="1" applyBorder="1" applyAlignment="1">
      <alignment horizontal="center" vertical="center"/>
    </xf>
    <xf numFmtId="0" fontId="18" fillId="0" borderId="11" xfId="0" applyFont="1" applyBorder="1"/>
    <xf numFmtId="0" fontId="6" fillId="0" borderId="0" xfId="0" applyFont="1" applyBorder="1"/>
    <xf numFmtId="0" fontId="18" fillId="0" borderId="31" xfId="0" applyFont="1" applyBorder="1"/>
    <xf numFmtId="0" fontId="18" fillId="3" borderId="16" xfId="0" applyFont="1" applyFill="1" applyBorder="1"/>
    <xf numFmtId="0" fontId="18" fillId="0" borderId="32" xfId="0" applyFont="1" applyBorder="1"/>
    <xf numFmtId="0" fontId="18" fillId="0" borderId="33" xfId="0" applyFont="1" applyBorder="1"/>
    <xf numFmtId="0" fontId="18" fillId="0" borderId="34" xfId="0" applyFont="1" applyBorder="1"/>
    <xf numFmtId="0" fontId="18" fillId="0" borderId="35" xfId="0" applyFont="1" applyBorder="1"/>
    <xf numFmtId="0" fontId="18" fillId="0" borderId="16" xfId="0" applyFont="1" applyBorder="1"/>
    <xf numFmtId="0" fontId="18" fillId="0" borderId="17" xfId="0" applyFont="1" applyBorder="1"/>
    <xf numFmtId="2" fontId="19" fillId="5" borderId="1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2" fontId="19" fillId="5" borderId="37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6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0" fontId="22" fillId="0" borderId="16" xfId="0" applyNumberFormat="1" applyFont="1" applyBorder="1" applyAlignment="1">
      <alignment horizontal="right" vertical="center"/>
    </xf>
    <xf numFmtId="0" fontId="19" fillId="2" borderId="32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10" fontId="22" fillId="2" borderId="16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3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19" fillId="6" borderId="36" xfId="0" applyFont="1" applyFill="1" applyBorder="1" applyAlignment="1">
      <alignment horizontal="left" vertical="center"/>
    </xf>
    <xf numFmtId="0" fontId="22" fillId="6" borderId="37" xfId="0" applyFont="1" applyFill="1" applyBorder="1" applyAlignment="1">
      <alignment horizontal="left" vertical="center"/>
    </xf>
    <xf numFmtId="10" fontId="22" fillId="6" borderId="3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10" fontId="22" fillId="0" borderId="0" xfId="0" applyNumberFormat="1" applyFont="1" applyFill="1" applyBorder="1" applyAlignment="1">
      <alignment horizontal="right" vertical="center"/>
    </xf>
    <xf numFmtId="0" fontId="24" fillId="7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7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10" fontId="22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6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25" xfId="0" applyFont="1" applyBorder="1"/>
    <xf numFmtId="0" fontId="5" fillId="0" borderId="32" xfId="0" applyFont="1" applyBorder="1"/>
    <xf numFmtId="0" fontId="5" fillId="3" borderId="16" xfId="0" applyFont="1" applyFill="1" applyBorder="1"/>
    <xf numFmtId="0" fontId="5" fillId="0" borderId="31" xfId="0" applyFont="1" applyBorder="1"/>
    <xf numFmtId="0" fontId="5" fillId="3" borderId="34" xfId="0" applyFont="1" applyFill="1" applyBorder="1"/>
    <xf numFmtId="0" fontId="5" fillId="0" borderId="38" xfId="0" applyFont="1" applyBorder="1"/>
    <xf numFmtId="0" fontId="5" fillId="3" borderId="39" xfId="0" applyFont="1" applyFill="1" applyBorder="1"/>
    <xf numFmtId="0" fontId="5" fillId="0" borderId="26" xfId="0" applyFont="1" applyBorder="1"/>
    <xf numFmtId="0" fontId="5" fillId="0" borderId="27" xfId="0" applyFont="1" applyBorder="1"/>
    <xf numFmtId="0" fontId="7" fillId="0" borderId="34" xfId="0" applyFont="1" applyBorder="1"/>
    <xf numFmtId="9" fontId="7" fillId="0" borderId="34" xfId="0" applyNumberFormat="1" applyFont="1" applyBorder="1"/>
    <xf numFmtId="0" fontId="7" fillId="0" borderId="2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32" xfId="3" applyFont="1" applyBorder="1"/>
    <xf numFmtId="9" fontId="5" fillId="0" borderId="1" xfId="3" applyFont="1" applyBorder="1" applyAlignment="1">
      <alignment horizontal="center"/>
    </xf>
    <xf numFmtId="9" fontId="5" fillId="0" borderId="16" xfId="3" applyFont="1" applyBorder="1"/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16" xfId="3" applyNumberFormat="1" applyFont="1" applyBorder="1"/>
    <xf numFmtId="0" fontId="5" fillId="0" borderId="3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6" xfId="0" applyNumberFormat="1" applyFont="1" applyFill="1" applyBorder="1" applyAlignment="1">
      <alignment horizontal="center" vertical="center"/>
    </xf>
    <xf numFmtId="10" fontId="5" fillId="0" borderId="16" xfId="0" applyNumberFormat="1" applyFont="1" applyFill="1" applyBorder="1" applyAlignment="1">
      <alignment horizontal="center" vertical="center"/>
    </xf>
    <xf numFmtId="10" fontId="5" fillId="3" borderId="1" xfId="3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6" xfId="0" applyFont="1" applyBorder="1"/>
    <xf numFmtId="0" fontId="5" fillId="0" borderId="36" xfId="0" applyFont="1" applyFill="1" applyBorder="1" applyAlignment="1">
      <alignment horizontal="left" vertical="center"/>
    </xf>
    <xf numFmtId="10" fontId="5" fillId="3" borderId="3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10" fontId="5" fillId="0" borderId="44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10" fontId="7" fillId="2" borderId="6" xfId="0" applyNumberFormat="1" applyFont="1" applyFill="1" applyBorder="1" applyAlignment="1">
      <alignment horizontal="center" vertical="center" wrapText="1"/>
    </xf>
    <xf numFmtId="10" fontId="5" fillId="0" borderId="32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16" xfId="3" applyNumberFormat="1" applyFont="1" applyBorder="1" applyAlignment="1">
      <alignment horizontal="right"/>
    </xf>
    <xf numFmtId="10" fontId="5" fillId="0" borderId="36" xfId="3" applyNumberFormat="1" applyFont="1" applyBorder="1" applyAlignment="1">
      <alignment horizontal="right"/>
    </xf>
    <xf numFmtId="10" fontId="5" fillId="0" borderId="37" xfId="3" applyNumberFormat="1" applyFont="1" applyBorder="1" applyAlignment="1">
      <alignment horizontal="right"/>
    </xf>
    <xf numFmtId="10" fontId="5" fillId="0" borderId="30" xfId="3" applyNumberFormat="1" applyFont="1" applyBorder="1" applyAlignment="1">
      <alignment horizontal="right"/>
    </xf>
    <xf numFmtId="0" fontId="6" fillId="0" borderId="46" xfId="0" applyFont="1" applyBorder="1"/>
    <xf numFmtId="0" fontId="20" fillId="0" borderId="46" xfId="0" applyFont="1" applyBorder="1" applyAlignment="1">
      <alignment horizontal="justify"/>
    </xf>
    <xf numFmtId="0" fontId="20" fillId="0" borderId="47" xfId="0" applyFont="1" applyBorder="1" applyAlignment="1">
      <alignment horizontal="justify"/>
    </xf>
    <xf numFmtId="0" fontId="17" fillId="8" borderId="48" xfId="0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3" borderId="9" xfId="4" applyNumberFormat="1" applyFont="1" applyFill="1" applyBorder="1" applyAlignment="1">
      <alignment vertical="center"/>
    </xf>
    <xf numFmtId="166" fontId="6" fillId="0" borderId="50" xfId="4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7" xfId="0" applyNumberFormat="1" applyFont="1" applyBorder="1" applyAlignment="1">
      <alignment vertical="center"/>
    </xf>
    <xf numFmtId="166" fontId="3" fillId="0" borderId="7" xfId="4" applyFont="1" applyBorder="1" applyAlignment="1">
      <alignment vertical="center"/>
    </xf>
    <xf numFmtId="166" fontId="3" fillId="0" borderId="4" xfId="4" applyFont="1" applyBorder="1" applyAlignment="1">
      <alignment vertical="center"/>
    </xf>
    <xf numFmtId="9" fontId="3" fillId="3" borderId="6" xfId="3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4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/>
    </xf>
    <xf numFmtId="168" fontId="3" fillId="0" borderId="1" xfId="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170" fontId="18" fillId="0" borderId="34" xfId="0" applyNumberFormat="1" applyFont="1" applyBorder="1"/>
    <xf numFmtId="170" fontId="7" fillId="0" borderId="34" xfId="0" applyNumberFormat="1" applyFont="1" applyBorder="1"/>
    <xf numFmtId="170" fontId="7" fillId="0" borderId="19" xfId="0" applyNumberFormat="1" applyFont="1" applyBorder="1"/>
    <xf numFmtId="0" fontId="3" fillId="0" borderId="51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66" fontId="3" fillId="0" borderId="51" xfId="4" applyFont="1" applyBorder="1" applyAlignment="1">
      <alignment horizontal="center" vertical="center"/>
    </xf>
    <xf numFmtId="166" fontId="3" fillId="0" borderId="51" xfId="4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32" xfId="0" applyFont="1" applyBorder="1"/>
    <xf numFmtId="0" fontId="7" fillId="0" borderId="1" xfId="0" applyFont="1" applyBorder="1"/>
    <xf numFmtId="0" fontId="7" fillId="0" borderId="16" xfId="0" applyFont="1" applyBorder="1"/>
    <xf numFmtId="0" fontId="5" fillId="0" borderId="32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3" fillId="0" borderId="16" xfId="4" applyNumberFormat="1" applyFont="1" applyBorder="1" applyAlignment="1">
      <alignment horizontal="center" vertical="center" wrapText="1"/>
    </xf>
    <xf numFmtId="172" fontId="5" fillId="0" borderId="16" xfId="0" applyNumberFormat="1" applyFont="1" applyBorder="1"/>
    <xf numFmtId="2" fontId="5" fillId="0" borderId="16" xfId="0" applyNumberFormat="1" applyFont="1" applyBorder="1"/>
    <xf numFmtId="0" fontId="5" fillId="0" borderId="36" xfId="0" applyFont="1" applyFill="1" applyBorder="1"/>
    <xf numFmtId="0" fontId="5" fillId="0" borderId="37" xfId="0" applyFont="1" applyBorder="1"/>
    <xf numFmtId="172" fontId="5" fillId="3" borderId="16" xfId="0" applyNumberFormat="1" applyFont="1" applyFill="1" applyBorder="1"/>
    <xf numFmtId="172" fontId="5" fillId="0" borderId="30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173" fontId="5" fillId="3" borderId="16" xfId="0" applyNumberFormat="1" applyFont="1" applyFill="1" applyBorder="1"/>
    <xf numFmtId="0" fontId="5" fillId="0" borderId="3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6" fontId="3" fillId="2" borderId="0" xfId="4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9" fontId="3" fillId="0" borderId="24" xfId="0" applyNumberFormat="1" applyFont="1" applyBorder="1" applyAlignment="1">
      <alignment vertical="center"/>
    </xf>
    <xf numFmtId="166" fontId="6" fillId="4" borderId="0" xfId="4" applyFont="1" applyFill="1" applyBorder="1" applyAlignment="1">
      <alignment horizontal="center" vertical="center"/>
    </xf>
    <xf numFmtId="166" fontId="6" fillId="0" borderId="0" xfId="4" applyFont="1" applyBorder="1" applyAlignment="1">
      <alignment horizontal="center" vertical="center"/>
    </xf>
    <xf numFmtId="166" fontId="6" fillId="0" borderId="24" xfId="4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3" fillId="2" borderId="3" xfId="4" applyNumberFormat="1" applyFont="1" applyFill="1" applyBorder="1" applyAlignment="1">
      <alignment vertical="center"/>
    </xf>
    <xf numFmtId="166" fontId="6" fillId="0" borderId="0" xfId="4" applyNumberFormat="1" applyFont="1" applyAlignment="1">
      <alignment vertical="center"/>
    </xf>
    <xf numFmtId="166" fontId="13" fillId="2" borderId="14" xfId="4" applyNumberFormat="1" applyFont="1" applyFill="1" applyBorder="1" applyAlignment="1">
      <alignment horizontal="center" vertical="center"/>
    </xf>
    <xf numFmtId="10" fontId="6" fillId="4" borderId="1" xfId="3" applyNumberFormat="1" applyFont="1" applyFill="1" applyBorder="1" applyAlignment="1">
      <alignment horizontal="center" vertical="center"/>
    </xf>
    <xf numFmtId="164" fontId="3" fillId="0" borderId="0" xfId="2" applyFont="1" applyAlignment="1">
      <alignment vertical="center"/>
    </xf>
    <xf numFmtId="168" fontId="1" fillId="3" borderId="2" xfId="4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center" vertical="center"/>
    </xf>
    <xf numFmtId="166" fontId="1" fillId="3" borderId="1" xfId="4" applyFont="1" applyFill="1" applyBorder="1" applyAlignment="1">
      <alignment horizontal="center" vertical="center"/>
    </xf>
    <xf numFmtId="168" fontId="1" fillId="0" borderId="1" xfId="4" applyNumberFormat="1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9" xfId="2" applyFont="1" applyBorder="1" applyAlignment="1">
      <alignment vertical="center"/>
    </xf>
    <xf numFmtId="166" fontId="3" fillId="3" borderId="9" xfId="4" applyFont="1" applyFill="1" applyBorder="1" applyAlignment="1">
      <alignment vertical="center"/>
    </xf>
    <xf numFmtId="166" fontId="3" fillId="0" borderId="50" xfId="4" applyFont="1" applyBorder="1" applyAlignment="1">
      <alignment vertical="center"/>
    </xf>
    <xf numFmtId="166" fontId="1" fillId="0" borderId="0" xfId="4" applyFont="1" applyAlignment="1">
      <alignment vertical="center"/>
    </xf>
    <xf numFmtId="166" fontId="1" fillId="3" borderId="2" xfId="4" applyFont="1" applyFill="1" applyBorder="1" applyAlignment="1">
      <alignment horizontal="center" vertical="center"/>
    </xf>
    <xf numFmtId="166" fontId="1" fillId="0" borderId="2" xfId="4" applyFont="1" applyBorder="1" applyAlignment="1">
      <alignment horizontal="center" vertical="center"/>
    </xf>
    <xf numFmtId="166" fontId="1" fillId="0" borderId="1" xfId="4" applyFont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6" fontId="3" fillId="0" borderId="11" xfId="4" applyFont="1" applyBorder="1" applyAlignment="1">
      <alignment horizontal="left" vertical="center"/>
    </xf>
    <xf numFmtId="166" fontId="3" fillId="0" borderId="9" xfId="4" applyFont="1" applyBorder="1" applyAlignment="1">
      <alignment horizontal="left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166" fontId="3" fillId="0" borderId="4" xfId="4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66" fontId="3" fillId="0" borderId="55" xfId="4" applyFont="1" applyBorder="1" applyAlignment="1">
      <alignment horizontal="center" vertical="center"/>
    </xf>
    <xf numFmtId="166" fontId="4" fillId="6" borderId="4" xfId="4" applyFont="1" applyFill="1" applyBorder="1" applyAlignment="1">
      <alignment horizontal="center" vertical="center"/>
    </xf>
    <xf numFmtId="166" fontId="4" fillId="6" borderId="5" xfId="4" applyFont="1" applyFill="1" applyBorder="1" applyAlignment="1">
      <alignment horizontal="center" vertical="center"/>
    </xf>
    <xf numFmtId="166" fontId="4" fillId="6" borderId="6" xfId="4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/>
    </xf>
    <xf numFmtId="0" fontId="17" fillId="8" borderId="56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9" fontId="7" fillId="0" borderId="40" xfId="3" applyFont="1" applyBorder="1" applyAlignment="1">
      <alignment horizontal="center"/>
    </xf>
    <xf numFmtId="9" fontId="7" fillId="0" borderId="41" xfId="3" applyFont="1" applyBorder="1" applyAlignment="1">
      <alignment horizontal="center"/>
    </xf>
    <xf numFmtId="9" fontId="7" fillId="0" borderId="8" xfId="3" applyFont="1" applyBorder="1" applyAlignment="1">
      <alignment horizont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7" fillId="8" borderId="40" xfId="0" applyFont="1" applyFill="1" applyBorder="1" applyAlignment="1">
      <alignment horizontal="center"/>
    </xf>
    <xf numFmtId="0" fontId="17" fillId="8" borderId="41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</cellXfs>
  <cellStyles count="5">
    <cellStyle name="Hiperlink" xfId="1" builtinId="8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8193" name="Picture 2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742950"/>
          <a:ext cx="1285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8194" name="Picture 1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" y="1209675"/>
          <a:ext cx="2038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coleta,%20triagem%20e%20transporte%20alta%20tempor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"/>
      <sheetName val="2.Encargos Sociais"/>
      <sheetName val="3.CAGED"/>
      <sheetName val="4.BDI"/>
      <sheetName val="5. Depreciação"/>
      <sheetName val="6.Remuneração de capital"/>
      <sheetName val="7. Dimensionamento"/>
    </sheetNames>
    <sheetDataSet>
      <sheetData sheetId="0">
        <row r="195">
          <cell r="D195">
            <v>4310</v>
          </cell>
        </row>
        <row r="224">
          <cell r="D224">
            <v>2980</v>
          </cell>
        </row>
        <row r="226">
          <cell r="D226">
            <v>730</v>
          </cell>
        </row>
        <row r="227">
          <cell r="C227">
            <v>60000</v>
          </cell>
        </row>
        <row r="241">
          <cell r="D241">
            <v>600</v>
          </cell>
        </row>
        <row r="259">
          <cell r="D259">
            <v>2198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5"/>
  <sheetViews>
    <sheetView tabSelected="1" view="pageBreakPreview" topLeftCell="A174" zoomScale="85" zoomScaleSheetLayoutView="85" workbookViewId="0">
      <selection activeCell="C203" sqref="C203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14.42578125" style="9" bestFit="1" customWidth="1"/>
    <col min="9" max="9" width="14.5703125" style="9" customWidth="1"/>
    <col min="10" max="10" width="13.42578125" style="9" customWidth="1"/>
    <col min="11" max="16384" width="9.140625" style="9"/>
  </cols>
  <sheetData>
    <row r="1" spans="1:7" s="4" customFormat="1" ht="15.6" customHeight="1" x14ac:dyDescent="0.2">
      <c r="A1" s="134"/>
      <c r="B1" s="135"/>
      <c r="C1" s="135"/>
      <c r="D1" s="135"/>
      <c r="E1" s="135"/>
      <c r="F1" s="135"/>
      <c r="G1" s="6"/>
    </row>
    <row r="2" spans="1:7" s="4" customFormat="1" ht="16.5" customHeight="1" thickBot="1" x14ac:dyDescent="0.25">
      <c r="A2" s="7"/>
      <c r="B2" s="5"/>
      <c r="C2" s="5"/>
      <c r="D2" s="6"/>
      <c r="E2" s="6"/>
      <c r="F2" s="6"/>
      <c r="G2" s="6"/>
    </row>
    <row r="3" spans="1:7" s="8" customFormat="1" ht="18" x14ac:dyDescent="0.2">
      <c r="A3" s="335" t="s">
        <v>309</v>
      </c>
      <c r="B3" s="336"/>
      <c r="C3" s="336"/>
      <c r="D3" s="336"/>
      <c r="E3" s="336"/>
      <c r="F3" s="337"/>
      <c r="G3" s="36"/>
    </row>
    <row r="4" spans="1:7" s="8" customFormat="1" ht="21.75" customHeight="1" x14ac:dyDescent="0.2">
      <c r="A4" s="338" t="s">
        <v>310</v>
      </c>
      <c r="B4" s="339"/>
      <c r="C4" s="339"/>
      <c r="D4" s="339"/>
      <c r="E4" s="339"/>
      <c r="F4" s="340"/>
      <c r="G4" s="36"/>
    </row>
    <row r="5" spans="1:7" s="4" customFormat="1" ht="10.9" customHeight="1" thickBot="1" x14ac:dyDescent="0.25">
      <c r="A5" s="146"/>
      <c r="B5" s="147"/>
      <c r="C5" s="147"/>
      <c r="D5" s="148"/>
      <c r="E5" s="148"/>
      <c r="F5" s="149"/>
      <c r="G5" s="6"/>
    </row>
    <row r="6" spans="1:7" s="4" customFormat="1" ht="15.75" customHeight="1" thickBot="1" x14ac:dyDescent="0.25">
      <c r="A6" s="344" t="s">
        <v>208</v>
      </c>
      <c r="B6" s="345"/>
      <c r="C6" s="345"/>
      <c r="D6" s="345"/>
      <c r="E6" s="345"/>
      <c r="F6" s="346"/>
      <c r="G6" s="6"/>
    </row>
    <row r="7" spans="1:7" s="4" customFormat="1" ht="15.75" customHeight="1" x14ac:dyDescent="0.2">
      <c r="A7" s="63" t="s">
        <v>207</v>
      </c>
      <c r="B7" s="40"/>
      <c r="C7" s="40"/>
      <c r="D7" s="257"/>
      <c r="E7" s="111" t="s">
        <v>37</v>
      </c>
      <c r="F7" s="41" t="s">
        <v>2</v>
      </c>
      <c r="G7" s="6"/>
    </row>
    <row r="8" spans="1:7" s="11" customFormat="1" ht="15.75" customHeight="1" x14ac:dyDescent="0.2">
      <c r="A8" s="121" t="str">
        <f>A46</f>
        <v>1. Mão-de-obra</v>
      </c>
      <c r="B8" s="122"/>
      <c r="C8" s="123"/>
      <c r="D8" s="123"/>
      <c r="E8" s="254">
        <f>+F120</f>
        <v>13499.477852</v>
      </c>
      <c r="F8" s="124">
        <f>E8/$E$29</f>
        <v>0.17994475328475917</v>
      </c>
      <c r="G8" s="44"/>
    </row>
    <row r="9" spans="1:7" s="4" customFormat="1" ht="15.75" customHeight="1" x14ac:dyDescent="0.2">
      <c r="A9" s="49" t="str">
        <f>A48</f>
        <v>1.1. Coletor Turno Dia</v>
      </c>
      <c r="B9" s="45"/>
      <c r="C9" s="47"/>
      <c r="D9" s="47"/>
      <c r="E9" s="255">
        <f>F58</f>
        <v>6874.7068220000001</v>
      </c>
      <c r="F9" s="124">
        <f t="shared" ref="F9:F26" si="0">E9/$E$29</f>
        <v>9.1638168272305767E-2</v>
      </c>
      <c r="G9" s="6"/>
    </row>
    <row r="10" spans="1:7" s="4" customFormat="1" ht="15.75" hidden="1" customHeight="1" x14ac:dyDescent="0.2">
      <c r="A10" s="49" t="str">
        <f>A60</f>
        <v>1.2. Coletor Turno Noite</v>
      </c>
      <c r="B10" s="45"/>
      <c r="C10" s="47"/>
      <c r="D10" s="47"/>
      <c r="E10" s="255">
        <f>F70</f>
        <v>0</v>
      </c>
      <c r="F10" s="124">
        <f t="shared" si="0"/>
        <v>0</v>
      </c>
      <c r="G10" s="6"/>
    </row>
    <row r="11" spans="1:7" s="4" customFormat="1" ht="15.75" customHeight="1" x14ac:dyDescent="0.2">
      <c r="A11" s="49" t="str">
        <f>A72</f>
        <v>1.3. Motorista Turno do Dia</v>
      </c>
      <c r="B11" s="45"/>
      <c r="C11" s="47"/>
      <c r="D11" s="47"/>
      <c r="E11" s="255">
        <f>F83</f>
        <v>3490.8473300000001</v>
      </c>
      <c r="F11" s="124">
        <f t="shared" si="0"/>
        <v>4.6532145053191518E-2</v>
      </c>
      <c r="G11" s="6"/>
    </row>
    <row r="12" spans="1:7" s="4" customFormat="1" ht="15.75" hidden="1" customHeight="1" x14ac:dyDescent="0.2">
      <c r="A12" s="49" t="str">
        <f>A85</f>
        <v>1.4. Encarregado</v>
      </c>
      <c r="B12" s="45"/>
      <c r="C12" s="47"/>
      <c r="D12" s="47"/>
      <c r="E12" s="255">
        <f>F97</f>
        <v>1180.9124999999999</v>
      </c>
      <c r="F12" s="124">
        <f t="shared" si="0"/>
        <v>1.5741276128832315E-2</v>
      </c>
      <c r="G12" s="6"/>
    </row>
    <row r="13" spans="1:7" s="4" customFormat="1" ht="15.75" customHeight="1" x14ac:dyDescent="0.2">
      <c r="A13" s="49" t="str">
        <f>A99</f>
        <v>1.5. Vale Transporte</v>
      </c>
      <c r="B13" s="45"/>
      <c r="C13" s="47"/>
      <c r="D13" s="47"/>
      <c r="E13" s="255">
        <f>F105</f>
        <v>285.00720000000001</v>
      </c>
      <c r="F13" s="124">
        <f t="shared" si="0"/>
        <v>3.7990765902684051E-3</v>
      </c>
      <c r="G13" s="6"/>
    </row>
    <row r="14" spans="1:7" s="4" customFormat="1" ht="15.75" customHeight="1" x14ac:dyDescent="0.2">
      <c r="A14" s="49" t="str">
        <f>A107</f>
        <v>1.6. Vale-refeição (diário)</v>
      </c>
      <c r="B14" s="45"/>
      <c r="C14" s="47"/>
      <c r="D14" s="47"/>
      <c r="E14" s="255">
        <f>F112</f>
        <v>1474.3240000000001</v>
      </c>
      <c r="F14" s="124">
        <f t="shared" si="0"/>
        <v>1.96523799920524E-2</v>
      </c>
      <c r="G14" s="6"/>
    </row>
    <row r="15" spans="1:7" s="4" customFormat="1" ht="15.75" customHeight="1" x14ac:dyDescent="0.2">
      <c r="A15" s="49" t="str">
        <f>A114</f>
        <v>1.7. Auxílio Alimentação (mensal)</v>
      </c>
      <c r="B15" s="45"/>
      <c r="C15" s="47"/>
      <c r="D15" s="47"/>
      <c r="E15" s="255">
        <f>F118</f>
        <v>193.68</v>
      </c>
      <c r="F15" s="124">
        <f t="shared" si="0"/>
        <v>2.5817072481087661E-3</v>
      </c>
      <c r="G15" s="6"/>
    </row>
    <row r="16" spans="1:7" s="11" customFormat="1" ht="15.75" customHeight="1" x14ac:dyDescent="0.2">
      <c r="A16" s="333" t="str">
        <f>A122</f>
        <v>2. Uniformes e Equipamentos de Proteção Individual</v>
      </c>
      <c r="B16" s="334"/>
      <c r="C16" s="334"/>
      <c r="D16" s="123"/>
      <c r="E16" s="254">
        <f>+F154</f>
        <v>1085.7</v>
      </c>
      <c r="F16" s="124">
        <f t="shared" si="0"/>
        <v>1.4472116683558899E-2</v>
      </c>
      <c r="G16" s="44"/>
    </row>
    <row r="17" spans="1:8" s="11" customFormat="1" ht="15.75" customHeight="1" x14ac:dyDescent="0.2">
      <c r="A17" s="132" t="str">
        <f>A156</f>
        <v>3. Veículos e Equipamentos</v>
      </c>
      <c r="B17" s="133"/>
      <c r="C17" s="123"/>
      <c r="D17" s="123"/>
      <c r="E17" s="254">
        <f>+F233</f>
        <v>40497.961488612302</v>
      </c>
      <c r="F17" s="124">
        <f t="shared" si="0"/>
        <v>0.53982796731092553</v>
      </c>
      <c r="G17" s="44"/>
    </row>
    <row r="18" spans="1:8" s="4" customFormat="1" ht="15.75" customHeight="1" x14ac:dyDescent="0.2">
      <c r="A18" s="64" t="str">
        <f>A158</f>
        <v>3.1. Veículo Coletor Compactador 19 m³</v>
      </c>
      <c r="B18" s="46"/>
      <c r="C18" s="47"/>
      <c r="D18" s="47"/>
      <c r="E18" s="255">
        <f>SUM(E19:E24)</f>
        <v>39412.261488612305</v>
      </c>
      <c r="F18" s="124">
        <f t="shared" si="0"/>
        <v>0.52535585062736667</v>
      </c>
      <c r="G18" s="6"/>
    </row>
    <row r="19" spans="1:8" s="4" customFormat="1" ht="15.75" customHeight="1" x14ac:dyDescent="0.2">
      <c r="A19" s="64" t="str">
        <f>A160</f>
        <v>3.1.1. Depreciação</v>
      </c>
      <c r="B19" s="46"/>
      <c r="C19" s="47"/>
      <c r="D19" s="47"/>
      <c r="E19" s="255">
        <f>F174</f>
        <v>4239.4053421866674</v>
      </c>
      <c r="F19" s="124">
        <f t="shared" si="0"/>
        <v>5.651024111727769E-2</v>
      </c>
      <c r="G19" s="6"/>
    </row>
    <row r="20" spans="1:8" s="4" customFormat="1" ht="15.75" customHeight="1" x14ac:dyDescent="0.2">
      <c r="A20" s="64" t="str">
        <f>A176</f>
        <v>3.1.2. Remuneração do Capital</v>
      </c>
      <c r="B20" s="46"/>
      <c r="C20" s="47"/>
      <c r="D20" s="47"/>
      <c r="E20" s="255">
        <f>F190</f>
        <v>1897.1338906285332</v>
      </c>
      <c r="F20" s="124">
        <f t="shared" si="0"/>
        <v>2.5288332899981759E-2</v>
      </c>
      <c r="G20" s="6"/>
    </row>
    <row r="21" spans="1:8" s="4" customFormat="1" ht="15.75" customHeight="1" x14ac:dyDescent="0.2">
      <c r="A21" s="64" t="str">
        <f>A192</f>
        <v>3.1.3. Impostos e Seguros</v>
      </c>
      <c r="B21" s="46"/>
      <c r="C21" s="47"/>
      <c r="D21" s="47"/>
      <c r="E21" s="255">
        <f>F198</f>
        <v>661.34296666666671</v>
      </c>
      <c r="F21" s="124">
        <f t="shared" si="0"/>
        <v>8.8155407400303983E-3</v>
      </c>
      <c r="G21" s="6"/>
    </row>
    <row r="22" spans="1:8" s="4" customFormat="1" ht="15.75" customHeight="1" x14ac:dyDescent="0.2">
      <c r="A22" s="64" t="str">
        <f>A200</f>
        <v>3.1.4. Consumos</v>
      </c>
      <c r="B22" s="46"/>
      <c r="C22" s="47"/>
      <c r="D22" s="47"/>
      <c r="E22" s="255">
        <f>F216</f>
        <v>21516.767289130439</v>
      </c>
      <c r="F22" s="124">
        <f t="shared" si="0"/>
        <v>0.28681326965209447</v>
      </c>
      <c r="G22" s="6"/>
    </row>
    <row r="23" spans="1:8" s="4" customFormat="1" ht="15.75" customHeight="1" x14ac:dyDescent="0.2">
      <c r="A23" s="64" t="str">
        <f>A218</f>
        <v>3.1.5. Manutenção</v>
      </c>
      <c r="B23" s="46"/>
      <c r="C23" s="47"/>
      <c r="D23" s="47"/>
      <c r="E23" s="255">
        <f>F221</f>
        <v>7260.12</v>
      </c>
      <c r="F23" s="124">
        <f t="shared" si="0"/>
        <v>9.6775632105222095E-2</v>
      </c>
      <c r="G23" s="6"/>
    </row>
    <row r="24" spans="1:8" s="4" customFormat="1" ht="15.75" customHeight="1" x14ac:dyDescent="0.2">
      <c r="A24" s="64" t="str">
        <f>A223</f>
        <v>3.1.6. Pneus</v>
      </c>
      <c r="B24" s="46"/>
      <c r="C24" s="47"/>
      <c r="D24" s="47"/>
      <c r="E24" s="255">
        <f>F230</f>
        <v>3837.4920000000002</v>
      </c>
      <c r="F24" s="124">
        <f t="shared" si="0"/>
        <v>5.1152834112760247E-2</v>
      </c>
      <c r="G24" s="6"/>
    </row>
    <row r="25" spans="1:8" s="11" customFormat="1" ht="15.75" customHeight="1" x14ac:dyDescent="0.2">
      <c r="A25" s="132" t="str">
        <f>A235</f>
        <v>4. Ferramentas e Materiais de Consumo</v>
      </c>
      <c r="B25" s="133"/>
      <c r="C25" s="123"/>
      <c r="D25" s="123"/>
      <c r="E25" s="254">
        <f>+F245</f>
        <v>86.306666666666672</v>
      </c>
      <c r="F25" s="124">
        <f t="shared" si="0"/>
        <v>1.1504468550879831E-3</v>
      </c>
      <c r="G25" s="44"/>
    </row>
    <row r="26" spans="1:8" s="11" customFormat="1" ht="15.75" customHeight="1" x14ac:dyDescent="0.2">
      <c r="A26" s="132" t="str">
        <f>A247</f>
        <v>5. Monitoramento da Frota</v>
      </c>
      <c r="B26" s="133"/>
      <c r="C26" s="123"/>
      <c r="D26" s="123"/>
      <c r="E26" s="254">
        <f>+F256</f>
        <v>125.83333333333333</v>
      </c>
      <c r="F26" s="124">
        <f t="shared" si="0"/>
        <v>1.6773276988865811E-3</v>
      </c>
      <c r="G26" s="44"/>
    </row>
    <row r="27" spans="1:8" s="11" customFormat="1" ht="15.75" customHeight="1" x14ac:dyDescent="0.2">
      <c r="A27" s="132" t="str">
        <f>A257</f>
        <v>6 - Conteineres</v>
      </c>
      <c r="B27" s="133"/>
      <c r="C27" s="123"/>
      <c r="D27" s="123"/>
      <c r="E27" s="305">
        <f>F264</f>
        <v>4102.9333333333334</v>
      </c>
      <c r="F27" s="124">
        <f>E27/E29</f>
        <v>5.4691102463722253E-2</v>
      </c>
      <c r="G27" s="44"/>
      <c r="H27" s="315"/>
    </row>
    <row r="28" spans="1:8" s="11" customFormat="1" ht="15.75" customHeight="1" thickBot="1" x14ac:dyDescent="0.25">
      <c r="A28" s="132" t="str">
        <f>A268</f>
        <v>7. Benefícios e Despesas Indiretas - BDI</v>
      </c>
      <c r="B28" s="133"/>
      <c r="C28" s="123"/>
      <c r="D28" s="123"/>
      <c r="E28" s="256">
        <f>+F274</f>
        <v>15621.922145350036</v>
      </c>
      <c r="F28" s="124">
        <f>E28/$E$29</f>
        <v>0.20823641900062489</v>
      </c>
      <c r="G28" s="44"/>
    </row>
    <row r="29" spans="1:8" s="4" customFormat="1" ht="15.75" customHeight="1" thickBot="1" x14ac:dyDescent="0.25">
      <c r="A29" s="42" t="s">
        <v>251</v>
      </c>
      <c r="B29" s="43"/>
      <c r="C29" s="26"/>
      <c r="D29" s="26"/>
      <c r="E29" s="110">
        <f>E8+E16+E17+E25+E26+E28+E27-0.01</f>
        <v>75020.124819295685</v>
      </c>
      <c r="F29" s="139">
        <f>F8+F16+F17+F25+F26+F28+F27</f>
        <v>1.0000001332975654</v>
      </c>
      <c r="G29" s="6"/>
    </row>
    <row r="31" spans="1:8" ht="13.5" thickBot="1" x14ac:dyDescent="0.25"/>
    <row r="32" spans="1:8" s="4" customFormat="1" ht="15" customHeight="1" thickBot="1" x14ac:dyDescent="0.25">
      <c r="A32" s="344" t="s">
        <v>96</v>
      </c>
      <c r="B32" s="345"/>
      <c r="C32" s="345"/>
      <c r="D32" s="345"/>
      <c r="E32" s="346"/>
      <c r="F32" s="10"/>
      <c r="G32" s="6"/>
    </row>
    <row r="33" spans="1:7" s="4" customFormat="1" ht="15" customHeight="1" thickBot="1" x14ac:dyDescent="0.25">
      <c r="A33" s="341" t="s">
        <v>38</v>
      </c>
      <c r="B33" s="342"/>
      <c r="C33" s="342"/>
      <c r="D33" s="343"/>
      <c r="E33" s="48" t="s">
        <v>39</v>
      </c>
      <c r="F33" s="10"/>
      <c r="G33" s="6"/>
    </row>
    <row r="34" spans="1:7" s="4" customFormat="1" ht="15" customHeight="1" x14ac:dyDescent="0.2">
      <c r="A34" s="72" t="str">
        <f>+A48</f>
        <v>1.1. Coletor Turno Dia</v>
      </c>
      <c r="B34" s="73"/>
      <c r="C34" s="73"/>
      <c r="D34" s="74"/>
      <c r="E34" s="75">
        <v>2</v>
      </c>
      <c r="F34" s="10"/>
      <c r="G34" s="6"/>
    </row>
    <row r="35" spans="1:7" s="4" customFormat="1" ht="15" customHeight="1" x14ac:dyDescent="0.2">
      <c r="A35" s="66" t="str">
        <f>+A60</f>
        <v>1.2. Coletor Turno Noite</v>
      </c>
      <c r="B35" s="65"/>
      <c r="C35" s="65"/>
      <c r="D35" s="76"/>
      <c r="E35" s="69">
        <f>C69</f>
        <v>0</v>
      </c>
      <c r="F35" s="10"/>
      <c r="G35" s="6"/>
    </row>
    <row r="36" spans="1:7" s="4" customFormat="1" ht="15" customHeight="1" x14ac:dyDescent="0.2">
      <c r="A36" s="66" t="str">
        <f>+A72</f>
        <v>1.3. Motorista Turno do Dia</v>
      </c>
      <c r="B36" s="65"/>
      <c r="C36" s="65"/>
      <c r="D36" s="76"/>
      <c r="E36" s="69">
        <v>1</v>
      </c>
      <c r="F36" s="10"/>
      <c r="G36" s="6"/>
    </row>
    <row r="37" spans="1:7" s="4" customFormat="1" ht="15" customHeight="1" x14ac:dyDescent="0.2">
      <c r="A37" s="66" t="str">
        <f>+A85</f>
        <v>1.4. Encarregado</v>
      </c>
      <c r="B37" s="65"/>
      <c r="C37" s="65"/>
      <c r="D37" s="76"/>
      <c r="E37" s="69">
        <f>C96</f>
        <v>1</v>
      </c>
      <c r="F37" s="10"/>
      <c r="G37" s="6"/>
    </row>
    <row r="38" spans="1:7" s="4" customFormat="1" ht="15" customHeight="1" thickBot="1" x14ac:dyDescent="0.25">
      <c r="A38" s="70" t="s">
        <v>57</v>
      </c>
      <c r="B38" s="71"/>
      <c r="C38" s="71"/>
      <c r="D38" s="77"/>
      <c r="E38" s="78">
        <f>SUM(E34:E37)</f>
        <v>4</v>
      </c>
      <c r="F38" s="10"/>
      <c r="G38" s="6"/>
    </row>
    <row r="39" spans="1:7" s="4" customFormat="1" ht="15" customHeight="1" thickBot="1" x14ac:dyDescent="0.25">
      <c r="A39" s="125"/>
      <c r="B39" s="126"/>
      <c r="C39" s="58"/>
      <c r="D39" s="58"/>
      <c r="E39" s="127"/>
      <c r="F39" s="10"/>
      <c r="G39" s="6"/>
    </row>
    <row r="40" spans="1:7" s="4" customFormat="1" ht="15" customHeight="1" x14ac:dyDescent="0.2">
      <c r="A40" s="331" t="s">
        <v>54</v>
      </c>
      <c r="B40" s="332"/>
      <c r="C40" s="332"/>
      <c r="D40" s="332"/>
      <c r="E40" s="48" t="s">
        <v>39</v>
      </c>
      <c r="F40" s="9"/>
      <c r="G40" s="6"/>
    </row>
    <row r="41" spans="1:7" s="4" customFormat="1" ht="15" customHeight="1" thickBot="1" x14ac:dyDescent="0.25">
      <c r="A41" s="128" t="str">
        <f>+A158</f>
        <v>3.1. Veículo Coletor Compactador 19 m³</v>
      </c>
      <c r="B41" s="129"/>
      <c r="C41" s="129"/>
      <c r="D41" s="130"/>
      <c r="E41" s="131">
        <v>1</v>
      </c>
      <c r="F41" s="9"/>
      <c r="G41" s="6"/>
    </row>
    <row r="42" spans="1:7" s="4" customFormat="1" ht="15" customHeight="1" x14ac:dyDescent="0.2">
      <c r="A42" s="58"/>
      <c r="B42" s="58"/>
      <c r="C42" s="58"/>
      <c r="D42" s="54"/>
      <c r="E42" s="249"/>
      <c r="F42" s="9"/>
      <c r="G42" s="6"/>
    </row>
    <row r="43" spans="1:7" s="4" customFormat="1" ht="13.5" thickBot="1" x14ac:dyDescent="0.25">
      <c r="A43" s="58"/>
      <c r="B43" s="58"/>
      <c r="C43" s="58"/>
      <c r="D43" s="54"/>
      <c r="E43" s="67"/>
      <c r="F43" s="9"/>
      <c r="G43" s="6"/>
    </row>
    <row r="44" spans="1:7" s="11" customFormat="1" ht="15.75" customHeight="1" thickBot="1" x14ac:dyDescent="0.25">
      <c r="A44" s="258" t="s">
        <v>202</v>
      </c>
      <c r="B44" s="259">
        <v>1</v>
      </c>
      <c r="C44" s="35"/>
      <c r="D44" s="34"/>
      <c r="E44" s="151"/>
      <c r="G44" s="44"/>
    </row>
    <row r="45" spans="1:7" s="4" customFormat="1" ht="15.75" customHeight="1" x14ac:dyDescent="0.2">
      <c r="A45" s="58"/>
      <c r="B45" s="58"/>
      <c r="C45" s="58"/>
      <c r="D45" s="54"/>
      <c r="E45" s="67"/>
      <c r="F45" s="9"/>
      <c r="G45" s="6"/>
    </row>
    <row r="46" spans="1:7" ht="13.15" customHeight="1" x14ac:dyDescent="0.2">
      <c r="A46" s="11" t="s">
        <v>45</v>
      </c>
    </row>
    <row r="47" spans="1:7" ht="11.25" customHeight="1" x14ac:dyDescent="0.2"/>
    <row r="48" spans="1:7" ht="13.9" customHeight="1" thickBot="1" x14ac:dyDescent="0.25">
      <c r="A48" s="9" t="s">
        <v>98</v>
      </c>
    </row>
    <row r="49" spans="1:7" ht="13.9" customHeight="1" thickBot="1" x14ac:dyDescent="0.25">
      <c r="A49" s="59" t="s">
        <v>62</v>
      </c>
      <c r="B49" s="60" t="s">
        <v>63</v>
      </c>
      <c r="C49" s="60" t="s">
        <v>39</v>
      </c>
      <c r="D49" s="61" t="s">
        <v>247</v>
      </c>
      <c r="E49" s="61" t="s">
        <v>64</v>
      </c>
      <c r="F49" s="62" t="s">
        <v>65</v>
      </c>
    </row>
    <row r="50" spans="1:7" ht="13.15" customHeight="1" x14ac:dyDescent="0.2">
      <c r="A50" s="13" t="s">
        <v>224</v>
      </c>
      <c r="B50" s="14" t="s">
        <v>8</v>
      </c>
      <c r="C50" s="14">
        <v>1</v>
      </c>
      <c r="D50" s="86">
        <v>1397.27</v>
      </c>
      <c r="E50" s="15">
        <f>C50*D50</f>
        <v>1397.27</v>
      </c>
    </row>
    <row r="51" spans="1:7" x14ac:dyDescent="0.2">
      <c r="A51" s="16" t="s">
        <v>34</v>
      </c>
      <c r="B51" s="17" t="s">
        <v>0</v>
      </c>
      <c r="C51" s="87">
        <v>0</v>
      </c>
      <c r="D51" s="18">
        <f>D50/220*2</f>
        <v>12.702454545454545</v>
      </c>
      <c r="E51" s="18">
        <f>C51*D51</f>
        <v>0</v>
      </c>
      <c r="G51" s="10" t="s">
        <v>263</v>
      </c>
    </row>
    <row r="52" spans="1:7" x14ac:dyDescent="0.2">
      <c r="A52" s="16" t="s">
        <v>1</v>
      </c>
      <c r="B52" s="17" t="s">
        <v>2</v>
      </c>
      <c r="C52" s="17">
        <v>40</v>
      </c>
      <c r="D52" s="82">
        <f>SUM(E50:E51)</f>
        <v>1397.27</v>
      </c>
      <c r="E52" s="18">
        <f>C52*D52/100</f>
        <v>558.90800000000002</v>
      </c>
    </row>
    <row r="53" spans="1:7" x14ac:dyDescent="0.2">
      <c r="A53" s="112" t="s">
        <v>3</v>
      </c>
      <c r="B53" s="113"/>
      <c r="C53" s="113"/>
      <c r="D53" s="114"/>
      <c r="E53" s="115">
        <f>SUM(E50:E52)</f>
        <v>1956.1779999999999</v>
      </c>
    </row>
    <row r="54" spans="1:7" x14ac:dyDescent="0.2">
      <c r="A54" s="16" t="s">
        <v>4</v>
      </c>
      <c r="B54" s="17" t="s">
        <v>2</v>
      </c>
      <c r="C54" s="137">
        <f>'2.Encargos Sociais'!$C$34*100</f>
        <v>74.95</v>
      </c>
      <c r="D54" s="18">
        <f>E53</f>
        <v>1956.1779999999999</v>
      </c>
      <c r="E54" s="18">
        <f>D54*C54/100</f>
        <v>1466.155411</v>
      </c>
    </row>
    <row r="55" spans="1:7" x14ac:dyDescent="0.2">
      <c r="A55" s="309" t="s">
        <v>308</v>
      </c>
      <c r="B55" s="310" t="s">
        <v>8</v>
      </c>
      <c r="C55" s="306">
        <v>1</v>
      </c>
      <c r="D55" s="307">
        <v>15.02</v>
      </c>
      <c r="E55" s="308">
        <f>D55*C55</f>
        <v>15.02</v>
      </c>
    </row>
    <row r="56" spans="1:7" x14ac:dyDescent="0.2">
      <c r="A56" s="112" t="s">
        <v>71</v>
      </c>
      <c r="B56" s="113"/>
      <c r="C56" s="113"/>
      <c r="D56" s="114"/>
      <c r="E56" s="115">
        <f>E53+E55+E54</f>
        <v>3437.3534110000001</v>
      </c>
    </row>
    <row r="57" spans="1:7" ht="13.5" thickBot="1" x14ac:dyDescent="0.25">
      <c r="A57" s="16" t="s">
        <v>5</v>
      </c>
      <c r="B57" s="17" t="s">
        <v>6</v>
      </c>
      <c r="C57" s="85">
        <v>2</v>
      </c>
      <c r="D57" s="18">
        <f>E56</f>
        <v>3437.3534110000001</v>
      </c>
      <c r="E57" s="18">
        <f>C57*D57</f>
        <v>6874.7068220000001</v>
      </c>
      <c r="G57" s="6"/>
    </row>
    <row r="58" spans="1:7" ht="13.9" customHeight="1" thickBot="1" x14ac:dyDescent="0.25">
      <c r="D58" s="119" t="s">
        <v>201</v>
      </c>
      <c r="E58" s="50">
        <f>$B$44</f>
        <v>1</v>
      </c>
      <c r="F58" s="120">
        <f>E57*E58</f>
        <v>6874.7068220000001</v>
      </c>
      <c r="G58" s="6"/>
    </row>
    <row r="59" spans="1:7" ht="11.25" customHeight="1" x14ac:dyDescent="0.2"/>
    <row r="60" spans="1:7" hidden="1" x14ac:dyDescent="0.2">
      <c r="A60" s="9" t="s">
        <v>89</v>
      </c>
    </row>
    <row r="61" spans="1:7" ht="13.5" hidden="1" thickBot="1" x14ac:dyDescent="0.25">
      <c r="A61" s="59" t="s">
        <v>62</v>
      </c>
      <c r="B61" s="60" t="s">
        <v>63</v>
      </c>
      <c r="C61" s="60" t="s">
        <v>39</v>
      </c>
      <c r="D61" s="61" t="s">
        <v>247</v>
      </c>
      <c r="E61" s="61" t="s">
        <v>64</v>
      </c>
      <c r="F61" s="62" t="s">
        <v>65</v>
      </c>
    </row>
    <row r="62" spans="1:7" hidden="1" x14ac:dyDescent="0.2">
      <c r="A62" s="13" t="s">
        <v>224</v>
      </c>
      <c r="B62" s="14" t="s">
        <v>8</v>
      </c>
      <c r="C62" s="14">
        <v>1</v>
      </c>
      <c r="D62" s="15">
        <f>D50</f>
        <v>1397.27</v>
      </c>
      <c r="E62" s="15">
        <f>C62*D62</f>
        <v>1397.27</v>
      </c>
    </row>
    <row r="63" spans="1:7" hidden="1" x14ac:dyDescent="0.2">
      <c r="A63" s="16" t="s">
        <v>7</v>
      </c>
      <c r="B63" s="17" t="s">
        <v>97</v>
      </c>
      <c r="C63" s="87"/>
      <c r="D63" s="18"/>
      <c r="E63" s="18"/>
    </row>
    <row r="64" spans="1:7" hidden="1" x14ac:dyDescent="0.2">
      <c r="A64" s="16"/>
      <c r="B64" s="17" t="s">
        <v>100</v>
      </c>
      <c r="C64" s="116">
        <f>C63*8/7</f>
        <v>0</v>
      </c>
      <c r="D64" s="18">
        <f>D62/220*0.2</f>
        <v>1.2702454545454547</v>
      </c>
      <c r="E64" s="18">
        <f>C63*D64</f>
        <v>0</v>
      </c>
    </row>
    <row r="65" spans="1:7" hidden="1" x14ac:dyDescent="0.2">
      <c r="A65" s="16" t="s">
        <v>1</v>
      </c>
      <c r="B65" s="17" t="s">
        <v>2</v>
      </c>
      <c r="C65" s="17">
        <f>+C52</f>
        <v>40</v>
      </c>
      <c r="D65" s="82">
        <f>SUM(E62:E64)</f>
        <v>1397.27</v>
      </c>
      <c r="E65" s="18">
        <f>C65*D65/100</f>
        <v>558.90800000000002</v>
      </c>
    </row>
    <row r="66" spans="1:7" hidden="1" x14ac:dyDescent="0.2">
      <c r="A66" s="112" t="s">
        <v>3</v>
      </c>
      <c r="B66" s="113"/>
      <c r="C66" s="113"/>
      <c r="D66" s="114"/>
      <c r="E66" s="115">
        <f>SUM(E62:E65)</f>
        <v>1956.1779999999999</v>
      </c>
    </row>
    <row r="67" spans="1:7" hidden="1" x14ac:dyDescent="0.2">
      <c r="A67" s="16" t="s">
        <v>4</v>
      </c>
      <c r="B67" s="17" t="s">
        <v>2</v>
      </c>
      <c r="C67" s="137">
        <f>'2.Encargos Sociais'!$C$34*100</f>
        <v>74.95</v>
      </c>
      <c r="D67" s="18">
        <f>E66</f>
        <v>1956.1779999999999</v>
      </c>
      <c r="E67" s="18">
        <f>D67*C67/100</f>
        <v>1466.155411</v>
      </c>
    </row>
    <row r="68" spans="1:7" hidden="1" x14ac:dyDescent="0.2">
      <c r="A68" s="112" t="s">
        <v>71</v>
      </c>
      <c r="B68" s="113"/>
      <c r="C68" s="113"/>
      <c r="D68" s="114"/>
      <c r="E68" s="115">
        <f>E66+E67</f>
        <v>3422.3334109999996</v>
      </c>
    </row>
    <row r="69" spans="1:7" ht="13.5" hidden="1" thickBot="1" x14ac:dyDescent="0.25">
      <c r="A69" s="16" t="s">
        <v>5</v>
      </c>
      <c r="B69" s="17" t="s">
        <v>6</v>
      </c>
      <c r="C69" s="85"/>
      <c r="D69" s="18">
        <f>E68</f>
        <v>3422.3334109999996</v>
      </c>
      <c r="E69" s="18">
        <f>C69*D69</f>
        <v>0</v>
      </c>
    </row>
    <row r="70" spans="1:7" ht="13.5" hidden="1" thickBot="1" x14ac:dyDescent="0.25">
      <c r="D70" s="119" t="s">
        <v>201</v>
      </c>
      <c r="E70" s="50">
        <f>$B$44</f>
        <v>1</v>
      </c>
      <c r="F70" s="120">
        <f>E69*E70</f>
        <v>0</v>
      </c>
    </row>
    <row r="71" spans="1:7" ht="11.25" hidden="1" customHeight="1" x14ac:dyDescent="0.2"/>
    <row r="72" spans="1:7" ht="13.5" thickBot="1" x14ac:dyDescent="0.25">
      <c r="A72" s="9" t="s">
        <v>99</v>
      </c>
    </row>
    <row r="73" spans="1:7" s="12" customFormat="1" ht="13.15" customHeight="1" thickBot="1" x14ac:dyDescent="0.25">
      <c r="A73" s="59" t="s">
        <v>62</v>
      </c>
      <c r="B73" s="60" t="s">
        <v>63</v>
      </c>
      <c r="C73" s="60" t="s">
        <v>39</v>
      </c>
      <c r="D73" s="61" t="s">
        <v>247</v>
      </c>
      <c r="E73" s="61" t="s">
        <v>64</v>
      </c>
      <c r="F73" s="62" t="s">
        <v>65</v>
      </c>
      <c r="G73" s="10"/>
    </row>
    <row r="74" spans="1:7" x14ac:dyDescent="0.2">
      <c r="A74" s="13" t="s">
        <v>227</v>
      </c>
      <c r="B74" s="14" t="s">
        <v>8</v>
      </c>
      <c r="C74" s="14">
        <v>1</v>
      </c>
      <c r="D74" s="86">
        <v>1555.34</v>
      </c>
      <c r="E74" s="15">
        <f>C74*D74</f>
        <v>1555.34</v>
      </c>
    </row>
    <row r="75" spans="1:7" x14ac:dyDescent="0.2">
      <c r="A75" s="13" t="s">
        <v>228</v>
      </c>
      <c r="B75" s="14" t="s">
        <v>8</v>
      </c>
      <c r="C75" s="14">
        <v>1</v>
      </c>
      <c r="D75" s="86">
        <v>1100</v>
      </c>
      <c r="E75" s="15"/>
    </row>
    <row r="76" spans="1:7" x14ac:dyDescent="0.2">
      <c r="A76" s="16" t="s">
        <v>34</v>
      </c>
      <c r="B76" s="17" t="s">
        <v>0</v>
      </c>
      <c r="C76" s="87">
        <v>0</v>
      </c>
      <c r="D76" s="18">
        <f>D74/220*2</f>
        <v>14.139454545454544</v>
      </c>
      <c r="E76" s="18">
        <f>C76*D76</f>
        <v>0</v>
      </c>
      <c r="G76" s="10" t="s">
        <v>263</v>
      </c>
    </row>
    <row r="77" spans="1:7" x14ac:dyDescent="0.2">
      <c r="A77" s="16" t="s">
        <v>226</v>
      </c>
      <c r="B77" s="17"/>
      <c r="C77" s="89">
        <v>1</v>
      </c>
      <c r="D77" s="18"/>
      <c r="E77" s="18"/>
    </row>
    <row r="78" spans="1:7" x14ac:dyDescent="0.2">
      <c r="A78" s="16" t="s">
        <v>1</v>
      </c>
      <c r="B78" s="17" t="s">
        <v>2</v>
      </c>
      <c r="C78" s="85">
        <v>40</v>
      </c>
      <c r="D78" s="82">
        <f>D75</f>
        <v>1100</v>
      </c>
      <c r="E78" s="18">
        <f>C78*D78/100</f>
        <v>440</v>
      </c>
    </row>
    <row r="79" spans="1:7" s="11" customFormat="1" x14ac:dyDescent="0.2">
      <c r="A79" s="101" t="s">
        <v>3</v>
      </c>
      <c r="B79" s="113"/>
      <c r="C79" s="113"/>
      <c r="D79" s="114"/>
      <c r="E79" s="103">
        <f>SUM(E74:E78)</f>
        <v>1995.34</v>
      </c>
      <c r="F79" s="44"/>
      <c r="G79" s="44"/>
    </row>
    <row r="80" spans="1:7" x14ac:dyDescent="0.2">
      <c r="A80" s="16" t="s">
        <v>4</v>
      </c>
      <c r="B80" s="17" t="s">
        <v>2</v>
      </c>
      <c r="C80" s="137">
        <f>'2.Encargos Sociais'!$C$34*100</f>
        <v>74.95</v>
      </c>
      <c r="D80" s="18">
        <f>E79</f>
        <v>1995.34</v>
      </c>
      <c r="E80" s="18">
        <f>D80*C80/100</f>
        <v>1495.5073300000001</v>
      </c>
    </row>
    <row r="81" spans="1:7" s="11" customFormat="1" x14ac:dyDescent="0.2">
      <c r="A81" s="101" t="s">
        <v>264</v>
      </c>
      <c r="B81" s="265"/>
      <c r="C81" s="265"/>
      <c r="D81" s="266"/>
      <c r="E81" s="103">
        <f>E79+E80</f>
        <v>3490.8473300000001</v>
      </c>
      <c r="F81" s="44"/>
      <c r="G81" s="44"/>
    </row>
    <row r="82" spans="1:7" ht="13.5" thickBot="1" x14ac:dyDescent="0.25">
      <c r="A82" s="16" t="s">
        <v>5</v>
      </c>
      <c r="B82" s="17" t="s">
        <v>6</v>
      </c>
      <c r="C82" s="85">
        <v>1</v>
      </c>
      <c r="D82" s="18">
        <f>E81</f>
        <v>3490.8473300000001</v>
      </c>
      <c r="E82" s="18">
        <f>C82*D82</f>
        <v>3490.8473300000001</v>
      </c>
    </row>
    <row r="83" spans="1:7" ht="13.5" thickBot="1" x14ac:dyDescent="0.25">
      <c r="D83" s="119" t="s">
        <v>201</v>
      </c>
      <c r="E83" s="50">
        <f>$B$44</f>
        <v>1</v>
      </c>
      <c r="F83" s="120">
        <f>E82*E83</f>
        <v>3490.8473300000001</v>
      </c>
    </row>
    <row r="84" spans="1:7" ht="11.25" customHeight="1" x14ac:dyDescent="0.2"/>
    <row r="85" spans="1:7" ht="13.5" thickBot="1" x14ac:dyDescent="0.25">
      <c r="A85" s="7" t="s">
        <v>316</v>
      </c>
    </row>
    <row r="86" spans="1:7" ht="13.5" thickBot="1" x14ac:dyDescent="0.25">
      <c r="A86" s="59" t="s">
        <v>62</v>
      </c>
      <c r="B86" s="60" t="s">
        <v>63</v>
      </c>
      <c r="C86" s="60" t="s">
        <v>39</v>
      </c>
      <c r="D86" s="61" t="s">
        <v>247</v>
      </c>
      <c r="E86" s="61" t="s">
        <v>64</v>
      </c>
      <c r="F86" s="62" t="s">
        <v>65</v>
      </c>
    </row>
    <row r="87" spans="1:7" x14ac:dyDescent="0.2">
      <c r="A87" s="13" t="s">
        <v>224</v>
      </c>
      <c r="B87" s="14" t="s">
        <v>8</v>
      </c>
      <c r="C87" s="14">
        <v>1</v>
      </c>
      <c r="D87" s="15">
        <v>2700</v>
      </c>
      <c r="E87" s="15">
        <f>C87*D87</f>
        <v>2700</v>
      </c>
    </row>
    <row r="88" spans="1:7" x14ac:dyDescent="0.2">
      <c r="A88" s="13" t="s">
        <v>225</v>
      </c>
      <c r="B88" s="14" t="s">
        <v>8</v>
      </c>
      <c r="C88" s="14">
        <v>1</v>
      </c>
      <c r="D88" s="18">
        <f>D75</f>
        <v>1100</v>
      </c>
      <c r="E88" s="18"/>
    </row>
    <row r="89" spans="1:7" x14ac:dyDescent="0.2">
      <c r="A89" s="16" t="s">
        <v>7</v>
      </c>
      <c r="B89" s="17" t="s">
        <v>97</v>
      </c>
      <c r="C89" s="87"/>
      <c r="D89" s="16"/>
      <c r="E89" s="16"/>
    </row>
    <row r="90" spans="1:7" x14ac:dyDescent="0.2">
      <c r="A90" s="16"/>
      <c r="B90" s="17" t="s">
        <v>100</v>
      </c>
      <c r="C90" s="18">
        <f>C89*8/7</f>
        <v>0</v>
      </c>
      <c r="D90" s="18">
        <f>D87/220*0.2</f>
        <v>2.454545454545455</v>
      </c>
      <c r="E90" s="18">
        <f>C89*D90</f>
        <v>0</v>
      </c>
    </row>
    <row r="91" spans="1:7" x14ac:dyDescent="0.2">
      <c r="A91" s="16" t="s">
        <v>226</v>
      </c>
      <c r="B91" s="17"/>
      <c r="C91" s="89"/>
      <c r="D91" s="18"/>
      <c r="E91" s="18"/>
    </row>
    <row r="92" spans="1:7" x14ac:dyDescent="0.2">
      <c r="A92" s="16" t="s">
        <v>1</v>
      </c>
      <c r="B92" s="17" t="s">
        <v>2</v>
      </c>
      <c r="C92" s="82">
        <f>+C78</f>
        <v>40</v>
      </c>
      <c r="D92" s="82">
        <f>IF(C91=2,SUM(E87:E90),IF(C91=1,SUM(E87:E90)*D88/D87,0))</f>
        <v>0</v>
      </c>
      <c r="E92" s="18">
        <f>C92*D92/100</f>
        <v>0</v>
      </c>
    </row>
    <row r="93" spans="1:7" s="11" customFormat="1" x14ac:dyDescent="0.2">
      <c r="A93" s="112" t="s">
        <v>3</v>
      </c>
      <c r="B93" s="113"/>
      <c r="C93" s="113"/>
      <c r="D93" s="114"/>
      <c r="E93" s="115">
        <f>SUM(E87:E92)</f>
        <v>2700</v>
      </c>
      <c r="F93" s="44"/>
      <c r="G93" s="44"/>
    </row>
    <row r="94" spans="1:7" x14ac:dyDescent="0.2">
      <c r="A94" s="16" t="s">
        <v>4</v>
      </c>
      <c r="B94" s="17" t="s">
        <v>2</v>
      </c>
      <c r="C94" s="137">
        <f>'2.Encargos Sociais'!$C$34*100</f>
        <v>74.95</v>
      </c>
      <c r="D94" s="18">
        <f>E93</f>
        <v>2700</v>
      </c>
      <c r="E94" s="18">
        <f>D94*C94/100</f>
        <v>2023.65</v>
      </c>
    </row>
    <row r="95" spans="1:7" s="11" customFormat="1" x14ac:dyDescent="0.2">
      <c r="A95" s="112" t="s">
        <v>264</v>
      </c>
      <c r="B95" s="113"/>
      <c r="C95" s="113"/>
      <c r="D95" s="114"/>
      <c r="E95" s="115">
        <f>E93+E94</f>
        <v>4723.6499999999996</v>
      </c>
      <c r="F95" s="44"/>
      <c r="G95" s="44"/>
    </row>
    <row r="96" spans="1:7" ht="13.5" thickBot="1" x14ac:dyDescent="0.25">
      <c r="A96" s="16" t="s">
        <v>5</v>
      </c>
      <c r="B96" s="17" t="s">
        <v>6</v>
      </c>
      <c r="C96" s="85">
        <v>1</v>
      </c>
      <c r="D96" s="18">
        <f>E95</f>
        <v>4723.6499999999996</v>
      </c>
      <c r="E96" s="18">
        <f>C96*D96</f>
        <v>4723.6499999999996</v>
      </c>
    </row>
    <row r="97" spans="1:7" ht="13.5" thickBot="1" x14ac:dyDescent="0.25">
      <c r="D97" s="119" t="s">
        <v>201</v>
      </c>
      <c r="E97" s="50">
        <v>0.25</v>
      </c>
      <c r="F97" s="120">
        <f>E96*E97</f>
        <v>1180.9124999999999</v>
      </c>
    </row>
    <row r="98" spans="1:7" ht="11.25" customHeight="1" x14ac:dyDescent="0.2">
      <c r="G98" s="9"/>
    </row>
    <row r="99" spans="1:7" ht="13.5" thickBot="1" x14ac:dyDescent="0.25">
      <c r="A99" s="9" t="s">
        <v>101</v>
      </c>
      <c r="B99" s="92"/>
      <c r="D99" s="9"/>
      <c r="E99" s="9"/>
      <c r="G99" s="9"/>
    </row>
    <row r="100" spans="1:7" ht="13.5" thickBot="1" x14ac:dyDescent="0.25">
      <c r="A100" s="59" t="s">
        <v>62</v>
      </c>
      <c r="B100" s="60" t="s">
        <v>63</v>
      </c>
      <c r="C100" s="60" t="s">
        <v>39</v>
      </c>
      <c r="D100" s="61" t="s">
        <v>247</v>
      </c>
      <c r="E100" s="61" t="s">
        <v>64</v>
      </c>
      <c r="F100" s="62" t="s">
        <v>65</v>
      </c>
      <c r="G100" s="9"/>
    </row>
    <row r="101" spans="1:7" x14ac:dyDescent="0.2">
      <c r="A101" s="16" t="s">
        <v>90</v>
      </c>
      <c r="B101" s="17" t="s">
        <v>33</v>
      </c>
      <c r="C101" s="93">
        <v>1</v>
      </c>
      <c r="D101" s="91">
        <v>3.5</v>
      </c>
      <c r="E101" s="18"/>
      <c r="G101" s="9"/>
    </row>
    <row r="102" spans="1:7" x14ac:dyDescent="0.2">
      <c r="A102" s="16" t="s">
        <v>91</v>
      </c>
      <c r="B102" s="17" t="s">
        <v>92</v>
      </c>
      <c r="C102" s="90">
        <v>26</v>
      </c>
      <c r="D102" s="18"/>
      <c r="E102" s="18"/>
      <c r="G102" s="9"/>
    </row>
    <row r="103" spans="1:7" x14ac:dyDescent="0.2">
      <c r="A103" s="16" t="s">
        <v>72</v>
      </c>
      <c r="B103" s="17" t="s">
        <v>9</v>
      </c>
      <c r="C103" s="37">
        <f>$C$102*2*(C57+C69)</f>
        <v>104</v>
      </c>
      <c r="D103" s="15">
        <f>(((D50*0.06)/52)-D101)*-1</f>
        <v>1.8877653846153848</v>
      </c>
      <c r="E103" s="18">
        <f>D103*C103</f>
        <v>196.32760000000002</v>
      </c>
      <c r="G103" s="9"/>
    </row>
    <row r="104" spans="1:7" ht="13.5" thickBot="1" x14ac:dyDescent="0.25">
      <c r="A104" s="13" t="s">
        <v>42</v>
      </c>
      <c r="B104" s="14" t="s">
        <v>9</v>
      </c>
      <c r="C104" s="37">
        <v>52</v>
      </c>
      <c r="D104" s="15">
        <f>(((D74*0.06)/52)-D101)*-1</f>
        <v>1.7053769230769231</v>
      </c>
      <c r="E104" s="18">
        <f>D104*C104</f>
        <v>88.679600000000008</v>
      </c>
      <c r="G104" s="9"/>
    </row>
    <row r="105" spans="1:7" ht="13.5" thickBot="1" x14ac:dyDescent="0.25">
      <c r="F105" s="22">
        <f>SUM(E103:E104)</f>
        <v>285.00720000000001</v>
      </c>
      <c r="G105" s="9"/>
    </row>
    <row r="106" spans="1:7" ht="11.25" customHeight="1" x14ac:dyDescent="0.2">
      <c r="G106" s="9"/>
    </row>
    <row r="107" spans="1:7" ht="13.5" thickBot="1" x14ac:dyDescent="0.25">
      <c r="A107" s="9" t="s">
        <v>124</v>
      </c>
      <c r="F107" s="23"/>
      <c r="G107" s="9"/>
    </row>
    <row r="108" spans="1:7" ht="13.5" thickBot="1" x14ac:dyDescent="0.25">
      <c r="A108" s="59" t="s">
        <v>62</v>
      </c>
      <c r="B108" s="60" t="s">
        <v>63</v>
      </c>
      <c r="C108" s="60" t="s">
        <v>39</v>
      </c>
      <c r="D108" s="61" t="s">
        <v>247</v>
      </c>
      <c r="E108" s="61" t="s">
        <v>64</v>
      </c>
      <c r="F108" s="62" t="s">
        <v>65</v>
      </c>
      <c r="G108" s="9"/>
    </row>
    <row r="109" spans="1:7" x14ac:dyDescent="0.2">
      <c r="A109" s="16" t="str">
        <f>+A103</f>
        <v>Coletor</v>
      </c>
      <c r="B109" s="17" t="s">
        <v>10</v>
      </c>
      <c r="C109" s="100">
        <f>C102*(E34+E35)</f>
        <v>52</v>
      </c>
      <c r="D109" s="94">
        <f>18.2*0.81</f>
        <v>14.742000000000001</v>
      </c>
      <c r="E109" s="50">
        <f>C109*D109</f>
        <v>766.58400000000006</v>
      </c>
      <c r="F109" s="23"/>
      <c r="G109" s="9"/>
    </row>
    <row r="110" spans="1:7" x14ac:dyDescent="0.2">
      <c r="A110" s="303" t="s">
        <v>317</v>
      </c>
      <c r="B110" s="304" t="s">
        <v>63</v>
      </c>
      <c r="C110" s="100">
        <v>3</v>
      </c>
      <c r="D110" s="94">
        <v>14.74</v>
      </c>
      <c r="E110" s="50">
        <f>C110*D110</f>
        <v>44.22</v>
      </c>
      <c r="F110" s="23"/>
      <c r="G110" s="9"/>
    </row>
    <row r="111" spans="1:7" ht="13.5" thickBot="1" x14ac:dyDescent="0.25">
      <c r="A111" s="16" t="str">
        <f>+A104</f>
        <v>Motorista</v>
      </c>
      <c r="B111" s="17" t="s">
        <v>10</v>
      </c>
      <c r="C111" s="100">
        <f>C102*(E36+E37)</f>
        <v>52</v>
      </c>
      <c r="D111" s="94">
        <v>12.76</v>
      </c>
      <c r="E111" s="50">
        <f>C111*D111</f>
        <v>663.52</v>
      </c>
      <c r="F111" s="23"/>
      <c r="G111" s="9"/>
    </row>
    <row r="112" spans="1:7" ht="13.5" thickBot="1" x14ac:dyDescent="0.25">
      <c r="F112" s="22">
        <f>SUM(E109:E111)</f>
        <v>1474.3240000000001</v>
      </c>
      <c r="G112" s="9"/>
    </row>
    <row r="113" spans="1:7" x14ac:dyDescent="0.2">
      <c r="G113" s="9"/>
    </row>
    <row r="114" spans="1:7" ht="13.5" thickBot="1" x14ac:dyDescent="0.25">
      <c r="A114" s="9" t="s">
        <v>125</v>
      </c>
      <c r="F114" s="23"/>
      <c r="G114" s="9"/>
    </row>
    <row r="115" spans="1:7" ht="13.5" thickBot="1" x14ac:dyDescent="0.25">
      <c r="A115" s="59" t="s">
        <v>62</v>
      </c>
      <c r="B115" s="60" t="s">
        <v>63</v>
      </c>
      <c r="C115" s="60" t="s">
        <v>39</v>
      </c>
      <c r="D115" s="61" t="s">
        <v>247</v>
      </c>
      <c r="E115" s="61" t="s">
        <v>64</v>
      </c>
      <c r="F115" s="62" t="s">
        <v>65</v>
      </c>
      <c r="G115" s="9"/>
    </row>
    <row r="116" spans="1:7" x14ac:dyDescent="0.2">
      <c r="A116" s="16" t="str">
        <f>+A109</f>
        <v>Coletor</v>
      </c>
      <c r="B116" s="17" t="s">
        <v>10</v>
      </c>
      <c r="C116" s="100">
        <f>E34+E35</f>
        <v>2</v>
      </c>
      <c r="D116" s="94"/>
      <c r="E116" s="50">
        <f>C116*D116</f>
        <v>0</v>
      </c>
      <c r="F116" s="23"/>
      <c r="G116" s="9"/>
    </row>
    <row r="117" spans="1:7" ht="13.5" thickBot="1" x14ac:dyDescent="0.25">
      <c r="A117" s="16" t="str">
        <f>+A111</f>
        <v>Motorista</v>
      </c>
      <c r="B117" s="17" t="s">
        <v>10</v>
      </c>
      <c r="C117" s="100">
        <f>E36+E37</f>
        <v>2</v>
      </c>
      <c r="D117" s="94">
        <v>96.84</v>
      </c>
      <c r="E117" s="50">
        <f>C117*D117</f>
        <v>193.68</v>
      </c>
      <c r="F117" s="23"/>
      <c r="G117" s="9"/>
    </row>
    <row r="118" spans="1:7" ht="13.5" thickBot="1" x14ac:dyDescent="0.25">
      <c r="D118" s="119" t="s">
        <v>201</v>
      </c>
      <c r="E118" s="50">
        <f>$B$44</f>
        <v>1</v>
      </c>
      <c r="F118" s="22">
        <f>SUM(E116:E117)*E118</f>
        <v>193.68</v>
      </c>
      <c r="G118" s="9"/>
    </row>
    <row r="119" spans="1:7" ht="13.5" thickBot="1" x14ac:dyDescent="0.25">
      <c r="G119" s="9"/>
    </row>
    <row r="120" spans="1:7" ht="13.5" thickBot="1" x14ac:dyDescent="0.25">
      <c r="A120" s="24" t="s">
        <v>93</v>
      </c>
      <c r="B120" s="25"/>
      <c r="C120" s="25"/>
      <c r="D120" s="26"/>
      <c r="E120" s="27"/>
      <c r="F120" s="22">
        <f>F118+F112+F105+F97+F83+F70+F58</f>
        <v>13499.477852</v>
      </c>
      <c r="G120" s="9"/>
    </row>
    <row r="122" spans="1:7" x14ac:dyDescent="0.2">
      <c r="A122" s="11" t="s">
        <v>43</v>
      </c>
      <c r="G122" s="9"/>
    </row>
    <row r="123" spans="1:7" ht="11.25" customHeight="1" x14ac:dyDescent="0.2">
      <c r="G123" s="9"/>
    </row>
    <row r="124" spans="1:7" ht="13.9" customHeight="1" x14ac:dyDescent="0.2">
      <c r="A124" s="9" t="s">
        <v>203</v>
      </c>
      <c r="G124" s="9"/>
    </row>
    <row r="125" spans="1:7" ht="11.25" customHeight="1" thickBot="1" x14ac:dyDescent="0.25">
      <c r="G125" s="9"/>
    </row>
    <row r="126" spans="1:7" ht="27.75" customHeight="1" thickBot="1" x14ac:dyDescent="0.25">
      <c r="A126" s="59" t="s">
        <v>62</v>
      </c>
      <c r="B126" s="60" t="s">
        <v>63</v>
      </c>
      <c r="C126" s="267" t="s">
        <v>266</v>
      </c>
      <c r="D126" s="61" t="s">
        <v>247</v>
      </c>
      <c r="E126" s="61" t="s">
        <v>64</v>
      </c>
      <c r="F126" s="62" t="s">
        <v>65</v>
      </c>
      <c r="G126" s="9"/>
    </row>
    <row r="127" spans="1:7" x14ac:dyDescent="0.2">
      <c r="A127" s="13" t="s">
        <v>66</v>
      </c>
      <c r="B127" s="14" t="s">
        <v>10</v>
      </c>
      <c r="C127" s="329">
        <v>6</v>
      </c>
      <c r="D127" s="326">
        <v>130</v>
      </c>
      <c r="E127" s="327">
        <f>D127/C127</f>
        <v>21.666666666666668</v>
      </c>
      <c r="G127" s="9"/>
    </row>
    <row r="128" spans="1:7" ht="13.15" customHeight="1" x14ac:dyDescent="0.2">
      <c r="A128" s="16" t="s">
        <v>30</v>
      </c>
      <c r="B128" s="17" t="s">
        <v>10</v>
      </c>
      <c r="C128" s="329">
        <v>3</v>
      </c>
      <c r="D128" s="326">
        <v>45</v>
      </c>
      <c r="E128" s="327">
        <f>D128/C128</f>
        <v>15</v>
      </c>
      <c r="G128" s="9"/>
    </row>
    <row r="129" spans="1:7" x14ac:dyDescent="0.2">
      <c r="A129" s="16" t="s">
        <v>31</v>
      </c>
      <c r="B129" s="17" t="s">
        <v>10</v>
      </c>
      <c r="C129" s="329">
        <v>1</v>
      </c>
      <c r="D129" s="326">
        <v>45</v>
      </c>
      <c r="E129" s="327">
        <f t="shared" ref="E129:E131" si="1">D129/C129</f>
        <v>45</v>
      </c>
      <c r="G129" s="9"/>
    </row>
    <row r="130" spans="1:7" ht="13.15" customHeight="1" x14ac:dyDescent="0.2">
      <c r="A130" s="16" t="s">
        <v>32</v>
      </c>
      <c r="B130" s="17" t="s">
        <v>10</v>
      </c>
      <c r="C130" s="329">
        <v>6</v>
      </c>
      <c r="D130" s="326">
        <v>18</v>
      </c>
      <c r="E130" s="327">
        <f t="shared" si="1"/>
        <v>3</v>
      </c>
      <c r="G130" s="9"/>
    </row>
    <row r="131" spans="1:7" ht="13.9" customHeight="1" x14ac:dyDescent="0.2">
      <c r="A131" s="303" t="s">
        <v>314</v>
      </c>
      <c r="B131" s="17" t="s">
        <v>46</v>
      </c>
      <c r="C131" s="329">
        <v>4</v>
      </c>
      <c r="D131" s="326">
        <v>66</v>
      </c>
      <c r="E131" s="327">
        <f t="shared" si="1"/>
        <v>16.5</v>
      </c>
      <c r="G131" s="9"/>
    </row>
    <row r="132" spans="1:7" ht="13.15" customHeight="1" x14ac:dyDescent="0.2">
      <c r="A132" s="16" t="s">
        <v>94</v>
      </c>
      <c r="B132" s="17" t="s">
        <v>46</v>
      </c>
      <c r="C132" s="329">
        <v>2</v>
      </c>
      <c r="D132" s="326">
        <v>4</v>
      </c>
      <c r="E132" s="327">
        <f>D132/C132</f>
        <v>2</v>
      </c>
    </row>
    <row r="133" spans="1:7" x14ac:dyDescent="0.2">
      <c r="A133" s="16" t="s">
        <v>67</v>
      </c>
      <c r="B133" s="17" t="s">
        <v>10</v>
      </c>
      <c r="C133" s="329">
        <v>3</v>
      </c>
      <c r="D133" s="326">
        <v>25</v>
      </c>
      <c r="E133" s="327">
        <f>D133/C133</f>
        <v>8.3333333333333339</v>
      </c>
    </row>
    <row r="134" spans="1:7" s="1" customFormat="1" x14ac:dyDescent="0.2">
      <c r="A134" s="2" t="s">
        <v>11</v>
      </c>
      <c r="B134" s="3" t="s">
        <v>10</v>
      </c>
      <c r="C134" s="329">
        <v>3</v>
      </c>
      <c r="D134" s="326">
        <v>18</v>
      </c>
      <c r="E134" s="327">
        <f>D134/C134</f>
        <v>6</v>
      </c>
      <c r="F134" s="38"/>
      <c r="G134" s="38"/>
    </row>
    <row r="135" spans="1:7" x14ac:dyDescent="0.2">
      <c r="A135" s="303" t="s">
        <v>315</v>
      </c>
      <c r="B135" s="17" t="s">
        <v>46</v>
      </c>
      <c r="C135" s="329">
        <v>3</v>
      </c>
      <c r="D135" s="326">
        <v>28.9</v>
      </c>
      <c r="E135" s="327">
        <f>D135/C135</f>
        <v>9.6333333333333329</v>
      </c>
    </row>
    <row r="136" spans="1:7" ht="13.15" customHeight="1" x14ac:dyDescent="0.2">
      <c r="A136" s="16" t="s">
        <v>61</v>
      </c>
      <c r="B136" s="17" t="s">
        <v>47</v>
      </c>
      <c r="C136" s="329">
        <v>1</v>
      </c>
      <c r="D136" s="326">
        <v>40</v>
      </c>
      <c r="E136" s="327">
        <f>D136</f>
        <v>40</v>
      </c>
    </row>
    <row r="137" spans="1:7" x14ac:dyDescent="0.2">
      <c r="A137" s="16" t="s">
        <v>204</v>
      </c>
      <c r="B137" s="17" t="s">
        <v>126</v>
      </c>
      <c r="C137" s="330">
        <v>1</v>
      </c>
      <c r="D137" s="326">
        <v>30</v>
      </c>
      <c r="E137" s="327">
        <f>D137</f>
        <v>30</v>
      </c>
    </row>
    <row r="138" spans="1:7" ht="13.5" thickBot="1" x14ac:dyDescent="0.25">
      <c r="A138" s="16" t="s">
        <v>5</v>
      </c>
      <c r="B138" s="17" t="s">
        <v>6</v>
      </c>
      <c r="C138" s="68">
        <f>E34+E35</f>
        <v>2</v>
      </c>
      <c r="D138" s="328">
        <f>SUM(E127:E137)</f>
        <v>197.13333333333333</v>
      </c>
      <c r="E138" s="328">
        <f>D138*C138</f>
        <v>394.26666666666665</v>
      </c>
    </row>
    <row r="139" spans="1:7" ht="13.5" thickBot="1" x14ac:dyDescent="0.25">
      <c r="D139" s="119" t="s">
        <v>201</v>
      </c>
      <c r="E139" s="50">
        <f>$B$44</f>
        <v>1</v>
      </c>
      <c r="F139" s="120">
        <f>E138*C138</f>
        <v>788.5333333333333</v>
      </c>
    </row>
    <row r="140" spans="1:7" ht="11.25" customHeight="1" x14ac:dyDescent="0.2"/>
    <row r="141" spans="1:7" ht="13.9" customHeight="1" x14ac:dyDescent="0.2">
      <c r="A141" s="9" t="s">
        <v>205</v>
      </c>
    </row>
    <row r="142" spans="1:7" ht="11.25" customHeight="1" thickBot="1" x14ac:dyDescent="0.25"/>
    <row r="143" spans="1:7" ht="24.75" thickBot="1" x14ac:dyDescent="0.25">
      <c r="A143" s="59" t="s">
        <v>62</v>
      </c>
      <c r="B143" s="60" t="s">
        <v>63</v>
      </c>
      <c r="C143" s="267" t="s">
        <v>266</v>
      </c>
      <c r="D143" s="61" t="s">
        <v>247</v>
      </c>
      <c r="E143" s="61" t="s">
        <v>64</v>
      </c>
      <c r="F143" s="62" t="s">
        <v>65</v>
      </c>
    </row>
    <row r="144" spans="1:7" x14ac:dyDescent="0.2">
      <c r="A144" s="13" t="s">
        <v>66</v>
      </c>
      <c r="B144" s="14" t="s">
        <v>10</v>
      </c>
      <c r="C144" s="99">
        <v>6</v>
      </c>
      <c r="D144" s="15">
        <f>+D127</f>
        <v>130</v>
      </c>
      <c r="E144" s="15">
        <f>D144*2/12</f>
        <v>21.666666666666668</v>
      </c>
    </row>
    <row r="145" spans="1:7" x14ac:dyDescent="0.2">
      <c r="A145" s="16" t="s">
        <v>30</v>
      </c>
      <c r="B145" s="17" t="s">
        <v>10</v>
      </c>
      <c r="C145" s="99">
        <v>4</v>
      </c>
      <c r="D145" s="18">
        <f>+D128</f>
        <v>45</v>
      </c>
      <c r="E145" s="15">
        <f>D145*3/12</f>
        <v>11.25</v>
      </c>
    </row>
    <row r="146" spans="1:7" x14ac:dyDescent="0.2">
      <c r="A146" s="16" t="s">
        <v>31</v>
      </c>
      <c r="B146" s="17" t="s">
        <v>10</v>
      </c>
      <c r="C146" s="99">
        <v>1</v>
      </c>
      <c r="D146" s="18">
        <f>+D129</f>
        <v>45</v>
      </c>
      <c r="E146" s="15">
        <f>D146</f>
        <v>45</v>
      </c>
    </row>
    <row r="147" spans="1:7" x14ac:dyDescent="0.2">
      <c r="A147" s="16" t="s">
        <v>68</v>
      </c>
      <c r="B147" s="17" t="s">
        <v>46</v>
      </c>
      <c r="C147" s="99">
        <v>4</v>
      </c>
      <c r="D147" s="18">
        <f>+D131</f>
        <v>66</v>
      </c>
      <c r="E147" s="15">
        <f>D147*3/12</f>
        <v>16.5</v>
      </c>
    </row>
    <row r="148" spans="1:7" x14ac:dyDescent="0.2">
      <c r="A148" s="16" t="s">
        <v>67</v>
      </c>
      <c r="B148" s="17" t="s">
        <v>10</v>
      </c>
      <c r="C148" s="99">
        <v>6</v>
      </c>
      <c r="D148" s="18">
        <f>+D133</f>
        <v>25</v>
      </c>
      <c r="E148" s="15">
        <f>D148*2/12</f>
        <v>4.166666666666667</v>
      </c>
      <c r="G148" s="9"/>
    </row>
    <row r="149" spans="1:7" x14ac:dyDescent="0.2">
      <c r="A149" s="16" t="s">
        <v>61</v>
      </c>
      <c r="B149" s="17" t="s">
        <v>47</v>
      </c>
      <c r="C149" s="99">
        <v>2</v>
      </c>
      <c r="D149" s="18">
        <f>+D136</f>
        <v>40</v>
      </c>
      <c r="E149" s="15">
        <f>D149*6/12</f>
        <v>20</v>
      </c>
      <c r="G149" s="9"/>
    </row>
    <row r="150" spans="1:7" x14ac:dyDescent="0.2">
      <c r="A150" s="16" t="s">
        <v>204</v>
      </c>
      <c r="B150" s="17" t="s">
        <v>126</v>
      </c>
      <c r="C150" s="117">
        <v>1</v>
      </c>
      <c r="D150" s="86">
        <v>30</v>
      </c>
      <c r="E150" s="18">
        <f>C150*D150</f>
        <v>30</v>
      </c>
      <c r="G150" s="9"/>
    </row>
    <row r="151" spans="1:7" ht="13.5" thickBot="1" x14ac:dyDescent="0.25">
      <c r="A151" s="16" t="s">
        <v>5</v>
      </c>
      <c r="B151" s="17" t="s">
        <v>6</v>
      </c>
      <c r="C151" s="68">
        <f>E36+E37</f>
        <v>2</v>
      </c>
      <c r="D151" s="18">
        <f>SUM(E144:E150)</f>
        <v>148.58333333333334</v>
      </c>
      <c r="E151" s="18">
        <f>SUM(E144:E150)</f>
        <v>148.58333333333334</v>
      </c>
      <c r="G151" s="9"/>
    </row>
    <row r="152" spans="1:7" ht="13.5" thickBot="1" x14ac:dyDescent="0.25">
      <c r="D152" s="119" t="s">
        <v>201</v>
      </c>
      <c r="E152" s="50">
        <f>$B$44</f>
        <v>1</v>
      </c>
      <c r="F152" s="120">
        <f>E151*C151</f>
        <v>297.16666666666669</v>
      </c>
      <c r="G152" s="9"/>
    </row>
    <row r="153" spans="1:7" ht="11.25" customHeight="1" thickBot="1" x14ac:dyDescent="0.25">
      <c r="G153" s="9"/>
    </row>
    <row r="154" spans="1:7" ht="13.5" thickBot="1" x14ac:dyDescent="0.25">
      <c r="A154" s="24" t="s">
        <v>206</v>
      </c>
      <c r="B154" s="28"/>
      <c r="C154" s="28"/>
      <c r="D154" s="29"/>
      <c r="E154" s="30"/>
      <c r="F154" s="21">
        <f>+F139+F152</f>
        <v>1085.7</v>
      </c>
      <c r="G154" s="9"/>
    </row>
    <row r="155" spans="1:7" ht="11.25" customHeight="1" x14ac:dyDescent="0.2">
      <c r="G155" s="9"/>
    </row>
    <row r="156" spans="1:7" x14ac:dyDescent="0.2">
      <c r="A156" s="11" t="s">
        <v>52</v>
      </c>
      <c r="G156" s="9"/>
    </row>
    <row r="157" spans="1:7" ht="11.25" customHeight="1" x14ac:dyDescent="0.2">
      <c r="B157" s="105"/>
      <c r="G157" s="9"/>
    </row>
    <row r="158" spans="1:7" x14ac:dyDescent="0.2">
      <c r="A158" s="7" t="s">
        <v>313</v>
      </c>
      <c r="G158" s="9"/>
    </row>
    <row r="159" spans="1:7" ht="11.25" customHeight="1" x14ac:dyDescent="0.2">
      <c r="G159" s="9"/>
    </row>
    <row r="160" spans="1:7" ht="13.5" thickBot="1" x14ac:dyDescent="0.25">
      <c r="A160" s="105" t="s">
        <v>44</v>
      </c>
      <c r="G160" s="9"/>
    </row>
    <row r="161" spans="1:10" ht="13.5" thickBot="1" x14ac:dyDescent="0.25">
      <c r="A161" s="59" t="s">
        <v>62</v>
      </c>
      <c r="B161" s="60" t="s">
        <v>63</v>
      </c>
      <c r="C161" s="60" t="s">
        <v>39</v>
      </c>
      <c r="D161" s="61" t="s">
        <v>247</v>
      </c>
      <c r="E161" s="61" t="s">
        <v>64</v>
      </c>
      <c r="F161" s="62" t="s">
        <v>65</v>
      </c>
      <c r="G161" s="9"/>
    </row>
    <row r="162" spans="1:10" x14ac:dyDescent="0.2">
      <c r="A162" s="13" t="s">
        <v>108</v>
      </c>
      <c r="B162" s="14" t="s">
        <v>10</v>
      </c>
      <c r="C162" s="271">
        <v>1</v>
      </c>
      <c r="D162" s="86">
        <v>353751.56</v>
      </c>
      <c r="E162" s="15">
        <f>C162*D162</f>
        <v>353751.56</v>
      </c>
      <c r="G162" s="9"/>
    </row>
    <row r="163" spans="1:10" x14ac:dyDescent="0.2">
      <c r="A163" s="16" t="s">
        <v>102</v>
      </c>
      <c r="B163" s="17" t="s">
        <v>103</v>
      </c>
      <c r="C163" s="85">
        <v>5</v>
      </c>
      <c r="D163" s="82"/>
      <c r="E163" s="18"/>
      <c r="G163" s="9"/>
    </row>
    <row r="164" spans="1:10" x14ac:dyDescent="0.2">
      <c r="A164" s="16" t="s">
        <v>219</v>
      </c>
      <c r="B164" s="17" t="s">
        <v>103</v>
      </c>
      <c r="C164" s="85">
        <v>5</v>
      </c>
      <c r="D164" s="18"/>
      <c r="E164" s="18"/>
      <c r="F164" s="20"/>
      <c r="I164" s="84"/>
      <c r="J164" s="84"/>
    </row>
    <row r="165" spans="1:10" x14ac:dyDescent="0.2">
      <c r="A165" s="16" t="s">
        <v>106</v>
      </c>
      <c r="B165" s="17" t="s">
        <v>2</v>
      </c>
      <c r="C165" s="137">
        <f>'5. Depreciação'!B7</f>
        <v>55.679999999999993</v>
      </c>
      <c r="D165" s="18">
        <f>E162</f>
        <v>353751.56</v>
      </c>
      <c r="E165" s="18">
        <f>C165*D165/100</f>
        <v>196968.86860799999</v>
      </c>
    </row>
    <row r="166" spans="1:10" ht="13.5" thickBot="1" x14ac:dyDescent="0.25">
      <c r="A166" s="277" t="s">
        <v>48</v>
      </c>
      <c r="B166" s="278" t="s">
        <v>8</v>
      </c>
      <c r="C166" s="278">
        <f>C163*12</f>
        <v>60</v>
      </c>
      <c r="D166" s="279">
        <f>IF(C164&lt;=C163,E165,0)</f>
        <v>196968.86860799999</v>
      </c>
      <c r="E166" s="279">
        <f>E162-E165</f>
        <v>156782.69139200001</v>
      </c>
    </row>
    <row r="167" spans="1:10" ht="13.5" thickTop="1" x14ac:dyDescent="0.2">
      <c r="A167" s="13" t="s">
        <v>107</v>
      </c>
      <c r="B167" s="14" t="s">
        <v>10</v>
      </c>
      <c r="C167" s="14">
        <f>C162</f>
        <v>1</v>
      </c>
      <c r="D167" s="86">
        <v>168000</v>
      </c>
      <c r="E167" s="15">
        <f>C167*D167</f>
        <v>168000</v>
      </c>
      <c r="G167" s="9"/>
    </row>
    <row r="168" spans="1:10" x14ac:dyDescent="0.2">
      <c r="A168" s="16" t="s">
        <v>104</v>
      </c>
      <c r="B168" s="17" t="s">
        <v>103</v>
      </c>
      <c r="C168" s="85">
        <v>5</v>
      </c>
      <c r="D168" s="18"/>
      <c r="E168" s="18"/>
    </row>
    <row r="169" spans="1:10" x14ac:dyDescent="0.2">
      <c r="A169" s="16" t="s">
        <v>220</v>
      </c>
      <c r="B169" s="17" t="s">
        <v>103</v>
      </c>
      <c r="C169" s="85">
        <v>5</v>
      </c>
      <c r="D169" s="18"/>
      <c r="E169" s="18"/>
      <c r="F169" s="20"/>
      <c r="I169" s="84"/>
      <c r="J169" s="84"/>
    </row>
    <row r="170" spans="1:10" x14ac:dyDescent="0.2">
      <c r="A170" s="16" t="s">
        <v>105</v>
      </c>
      <c r="B170" s="17" t="s">
        <v>2</v>
      </c>
      <c r="C170" s="138">
        <f>'5. Depreciação'!B7</f>
        <v>55.679999999999993</v>
      </c>
      <c r="D170" s="18">
        <f>E167</f>
        <v>168000</v>
      </c>
      <c r="E170" s="18">
        <f>C170*D170/100</f>
        <v>93542.39999999998</v>
      </c>
    </row>
    <row r="171" spans="1:10" x14ac:dyDescent="0.2">
      <c r="A171" s="101" t="s">
        <v>109</v>
      </c>
      <c r="B171" s="102" t="s">
        <v>8</v>
      </c>
      <c r="C171" s="102">
        <f>C168*12</f>
        <v>60</v>
      </c>
      <c r="D171" s="103">
        <f>IF(C169&lt;=C168,E170,0)</f>
        <v>93542.39999999998</v>
      </c>
      <c r="E171" s="103">
        <f>E167-E170</f>
        <v>74457.60000000002</v>
      </c>
    </row>
    <row r="172" spans="1:10" x14ac:dyDescent="0.2">
      <c r="A172" s="112" t="s">
        <v>269</v>
      </c>
      <c r="B172" s="113"/>
      <c r="C172" s="113"/>
      <c r="D172" s="114"/>
      <c r="E172" s="115">
        <f>E166+E171</f>
        <v>231240.29139200004</v>
      </c>
    </row>
    <row r="173" spans="1:10" ht="13.5" thickBot="1" x14ac:dyDescent="0.25">
      <c r="A173" s="101" t="s">
        <v>270</v>
      </c>
      <c r="B173" s="102" t="s">
        <v>10</v>
      </c>
      <c r="C173" s="85">
        <v>1</v>
      </c>
      <c r="D173" s="103">
        <f>E172</f>
        <v>231240.29139200004</v>
      </c>
      <c r="E173" s="115">
        <f>C173*D173</f>
        <v>231240.29139200004</v>
      </c>
    </row>
    <row r="174" spans="1:10" ht="13.5" thickBot="1" x14ac:dyDescent="0.25">
      <c r="A174" s="270"/>
      <c r="B174" s="270"/>
      <c r="C174" s="270"/>
      <c r="D174" s="119" t="s">
        <v>201</v>
      </c>
      <c r="E174" s="50">
        <v>1.1000000000000001</v>
      </c>
      <c r="F174" s="21">
        <f>(E173*E174)/60</f>
        <v>4239.4053421866674</v>
      </c>
    </row>
    <row r="175" spans="1:10" ht="11.25" customHeight="1" x14ac:dyDescent="0.2"/>
    <row r="176" spans="1:10" ht="13.5" thickBot="1" x14ac:dyDescent="0.25">
      <c r="A176" s="105" t="s">
        <v>114</v>
      </c>
    </row>
    <row r="177" spans="1:10" ht="13.5" thickBot="1" x14ac:dyDescent="0.25">
      <c r="A177" s="59" t="s">
        <v>62</v>
      </c>
      <c r="B177" s="60" t="s">
        <v>63</v>
      </c>
      <c r="C177" s="60" t="s">
        <v>39</v>
      </c>
      <c r="D177" s="61" t="s">
        <v>247</v>
      </c>
      <c r="E177" s="61" t="s">
        <v>64</v>
      </c>
      <c r="F177" s="62" t="s">
        <v>65</v>
      </c>
      <c r="I177" s="84"/>
      <c r="J177" s="84"/>
    </row>
    <row r="178" spans="1:10" x14ac:dyDescent="0.2">
      <c r="A178" s="13" t="s">
        <v>112</v>
      </c>
      <c r="B178" s="14" t="s">
        <v>10</v>
      </c>
      <c r="C178" s="271">
        <v>1</v>
      </c>
      <c r="D178" s="15">
        <f>D162</f>
        <v>353751.56</v>
      </c>
      <c r="E178" s="15">
        <f>C178*D178</f>
        <v>353751.56</v>
      </c>
      <c r="F178" s="20"/>
      <c r="I178" s="84"/>
      <c r="J178" s="84"/>
    </row>
    <row r="179" spans="1:10" x14ac:dyDescent="0.2">
      <c r="A179" s="16" t="s">
        <v>223</v>
      </c>
      <c r="B179" s="17" t="s">
        <v>2</v>
      </c>
      <c r="C179" s="85">
        <v>8.9499999999999993</v>
      </c>
      <c r="D179" s="18"/>
      <c r="E179" s="18"/>
      <c r="F179" s="20"/>
      <c r="I179" s="84"/>
      <c r="J179" s="84"/>
    </row>
    <row r="180" spans="1:10" x14ac:dyDescent="0.2">
      <c r="A180" s="16" t="s">
        <v>221</v>
      </c>
      <c r="B180" s="17" t="s">
        <v>33</v>
      </c>
      <c r="C180" s="144">
        <f>IF(C164&lt;=C163,E162-(C165/(100*C163)*C164)*E162,E162-E165)</f>
        <v>156782.69139200001</v>
      </c>
      <c r="D180" s="18"/>
      <c r="E180" s="18"/>
      <c r="F180" s="20"/>
      <c r="I180" s="84"/>
      <c r="J180" s="84"/>
    </row>
    <row r="181" spans="1:10" x14ac:dyDescent="0.2">
      <c r="A181" s="16" t="s">
        <v>117</v>
      </c>
      <c r="B181" s="17" t="s">
        <v>33</v>
      </c>
      <c r="C181" s="82">
        <f>IF(C164&gt;=C163,C180,((((C180)-(E162-E165))*(((C163-C164)+1)/(2*(C163-C164))))+(E162-E165)))</f>
        <v>156782.69139200001</v>
      </c>
      <c r="D181" s="18"/>
      <c r="E181" s="18"/>
      <c r="F181" s="20"/>
      <c r="I181" s="84"/>
      <c r="J181" s="84"/>
    </row>
    <row r="182" spans="1:10" ht="13.5" thickBot="1" x14ac:dyDescent="0.25">
      <c r="A182" s="277" t="s">
        <v>118</v>
      </c>
      <c r="B182" s="278" t="s">
        <v>33</v>
      </c>
      <c r="C182" s="278"/>
      <c r="D182" s="280">
        <f>C179*C181/12/100</f>
        <v>1169.3375732986665</v>
      </c>
      <c r="E182" s="279">
        <f>D182</f>
        <v>1169.3375732986665</v>
      </c>
      <c r="F182" s="20"/>
      <c r="I182" s="84"/>
      <c r="J182" s="84"/>
    </row>
    <row r="183" spans="1:10" ht="13.5" thickTop="1" x14ac:dyDescent="0.2">
      <c r="A183" s="13" t="s">
        <v>113</v>
      </c>
      <c r="B183" s="14" t="s">
        <v>10</v>
      </c>
      <c r="C183" s="14">
        <f>C167</f>
        <v>1</v>
      </c>
      <c r="D183" s="15">
        <f>D167</f>
        <v>168000</v>
      </c>
      <c r="E183" s="15">
        <f>C183*D183</f>
        <v>168000</v>
      </c>
      <c r="F183" s="20"/>
      <c r="I183" s="84"/>
      <c r="J183" s="84"/>
    </row>
    <row r="184" spans="1:10" x14ac:dyDescent="0.2">
      <c r="A184" s="16" t="s">
        <v>223</v>
      </c>
      <c r="B184" s="17" t="s">
        <v>2</v>
      </c>
      <c r="C184" s="272">
        <f>C179</f>
        <v>8.9499999999999993</v>
      </c>
      <c r="D184" s="18"/>
      <c r="E184" s="18"/>
      <c r="F184" s="20"/>
      <c r="I184" s="84"/>
      <c r="J184" s="84"/>
    </row>
    <row r="185" spans="1:10" x14ac:dyDescent="0.2">
      <c r="A185" s="16" t="s">
        <v>222</v>
      </c>
      <c r="B185" s="17" t="s">
        <v>33</v>
      </c>
      <c r="C185" s="144">
        <f>IF(C169&lt;=C168,E167-(C170/(100*C168)*C169)*E167,E167-E170)</f>
        <v>74457.600000000006</v>
      </c>
      <c r="D185" s="18"/>
      <c r="E185" s="18"/>
      <c r="F185" s="20"/>
      <c r="I185" s="84"/>
      <c r="J185" s="84"/>
    </row>
    <row r="186" spans="1:10" x14ac:dyDescent="0.2">
      <c r="A186" s="16" t="s">
        <v>119</v>
      </c>
      <c r="B186" s="17" t="s">
        <v>33</v>
      </c>
      <c r="C186" s="82">
        <f>IF(C169&gt;=C168,C185,((((C185)-(E167-E170))*(((C168-C169)+1)/(2*(C168-C169))))+(E167-E170)))</f>
        <v>74457.600000000006</v>
      </c>
      <c r="D186" s="18"/>
      <c r="E186" s="18"/>
      <c r="F186" s="20"/>
      <c r="I186" s="84"/>
      <c r="J186" s="84"/>
    </row>
    <row r="187" spans="1:10" x14ac:dyDescent="0.2">
      <c r="A187" s="101" t="s">
        <v>116</v>
      </c>
      <c r="B187" s="102" t="s">
        <v>33</v>
      </c>
      <c r="C187" s="102"/>
      <c r="D187" s="108">
        <f>C184*C186/12/100</f>
        <v>555.32960000000003</v>
      </c>
      <c r="E187" s="103">
        <f>D187</f>
        <v>555.32960000000003</v>
      </c>
      <c r="F187" s="20"/>
      <c r="I187" s="84"/>
      <c r="J187" s="84"/>
    </row>
    <row r="188" spans="1:10" x14ac:dyDescent="0.2">
      <c r="A188" s="112" t="s">
        <v>269</v>
      </c>
      <c r="B188" s="113"/>
      <c r="C188" s="113"/>
      <c r="D188" s="114"/>
      <c r="E188" s="115">
        <f>E182+E187</f>
        <v>1724.6671732986665</v>
      </c>
      <c r="F188" s="20"/>
      <c r="I188" s="84"/>
      <c r="J188" s="84"/>
    </row>
    <row r="189" spans="1:10" ht="13.5" thickBot="1" x14ac:dyDescent="0.25">
      <c r="A189" s="101" t="s">
        <v>270</v>
      </c>
      <c r="B189" s="102" t="s">
        <v>10</v>
      </c>
      <c r="C189" s="272">
        <f>C173</f>
        <v>1</v>
      </c>
      <c r="D189" s="103">
        <f>E188</f>
        <v>1724.6671732986665</v>
      </c>
      <c r="E189" s="115">
        <f>C189*D189</f>
        <v>1724.6671732986665</v>
      </c>
      <c r="F189" s="20"/>
      <c r="I189" s="84"/>
      <c r="J189" s="84"/>
    </row>
    <row r="190" spans="1:10" ht="13.5" thickBot="1" x14ac:dyDescent="0.25">
      <c r="C190" s="19"/>
      <c r="D190" s="119" t="s">
        <v>201</v>
      </c>
      <c r="E190" s="50">
        <v>1.1000000000000001</v>
      </c>
      <c r="F190" s="21">
        <f>E189*E190</f>
        <v>1897.1338906285332</v>
      </c>
      <c r="I190" s="84"/>
      <c r="J190" s="84"/>
    </row>
    <row r="191" spans="1:10" ht="11.25" customHeight="1" x14ac:dyDescent="0.2">
      <c r="I191" s="84"/>
      <c r="J191" s="84"/>
    </row>
    <row r="192" spans="1:10" ht="13.5" thickBot="1" x14ac:dyDescent="0.25">
      <c r="A192" s="9" t="s">
        <v>49</v>
      </c>
      <c r="I192" s="84"/>
      <c r="J192" s="84"/>
    </row>
    <row r="193" spans="1:10" ht="13.5" thickBot="1" x14ac:dyDescent="0.25">
      <c r="A193" s="59" t="s">
        <v>62</v>
      </c>
      <c r="B193" s="60" t="s">
        <v>63</v>
      </c>
      <c r="C193" s="60" t="s">
        <v>39</v>
      </c>
      <c r="D193" s="61" t="s">
        <v>247</v>
      </c>
      <c r="E193" s="61" t="s">
        <v>64</v>
      </c>
      <c r="F193" s="62" t="s">
        <v>65</v>
      </c>
      <c r="I193" s="84"/>
      <c r="J193" s="84"/>
    </row>
    <row r="194" spans="1:10" x14ac:dyDescent="0.2">
      <c r="A194" s="13" t="s">
        <v>12</v>
      </c>
      <c r="B194" s="14" t="s">
        <v>10</v>
      </c>
      <c r="C194" s="15">
        <f>C173</f>
        <v>1</v>
      </c>
      <c r="D194" s="15">
        <f>0.01*($E$162)</f>
        <v>3537.5156000000002</v>
      </c>
      <c r="E194" s="15">
        <f>C194*D194</f>
        <v>3537.5156000000002</v>
      </c>
      <c r="I194" s="84"/>
      <c r="J194" s="84"/>
    </row>
    <row r="195" spans="1:10" x14ac:dyDescent="0.2">
      <c r="A195" s="16" t="s">
        <v>200</v>
      </c>
      <c r="B195" s="17" t="s">
        <v>10</v>
      </c>
      <c r="C195" s="15">
        <f>C173</f>
        <v>1</v>
      </c>
      <c r="D195" s="88">
        <v>88.6</v>
      </c>
      <c r="E195" s="18">
        <f>C195*D195</f>
        <v>88.6</v>
      </c>
      <c r="I195" s="84"/>
      <c r="J195" s="84"/>
    </row>
    <row r="196" spans="1:10" x14ac:dyDescent="0.2">
      <c r="A196" s="16" t="s">
        <v>13</v>
      </c>
      <c r="B196" s="17" t="s">
        <v>10</v>
      </c>
      <c r="C196" s="15">
        <f>C173</f>
        <v>1</v>
      </c>
      <c r="D196" s="88">
        <f>'[1]1. Coleta Domiciliar'!$D$195</f>
        <v>4310</v>
      </c>
      <c r="E196" s="18">
        <f>C196*D196</f>
        <v>4310</v>
      </c>
      <c r="F196" s="31"/>
      <c r="I196" s="84"/>
      <c r="J196" s="84"/>
    </row>
    <row r="197" spans="1:10" ht="13.5" thickBot="1" x14ac:dyDescent="0.25">
      <c r="A197" s="101" t="s">
        <v>14</v>
      </c>
      <c r="B197" s="102" t="s">
        <v>8</v>
      </c>
      <c r="C197" s="102">
        <v>12</v>
      </c>
      <c r="D197" s="103">
        <f>SUM(E194:E196)</f>
        <v>7936.1156000000001</v>
      </c>
      <c r="E197" s="103">
        <f>D197/C197</f>
        <v>661.34296666666671</v>
      </c>
      <c r="I197" s="84"/>
      <c r="J197" s="84"/>
    </row>
    <row r="198" spans="1:10" ht="13.5" thickBot="1" x14ac:dyDescent="0.25">
      <c r="D198" s="119" t="s">
        <v>201</v>
      </c>
      <c r="E198" s="50">
        <f>$B$44</f>
        <v>1</v>
      </c>
      <c r="F198" s="120">
        <f>E197*E198</f>
        <v>661.34296666666671</v>
      </c>
      <c r="I198" s="84"/>
      <c r="J198" s="84"/>
    </row>
    <row r="199" spans="1:10" ht="11.25" customHeight="1" x14ac:dyDescent="0.2">
      <c r="I199" s="84"/>
      <c r="J199" s="84"/>
    </row>
    <row r="200" spans="1:10" x14ac:dyDescent="0.2">
      <c r="A200" s="9" t="s">
        <v>50</v>
      </c>
      <c r="B200" s="32"/>
      <c r="I200" s="84"/>
      <c r="J200" s="84"/>
    </row>
    <row r="201" spans="1:10" x14ac:dyDescent="0.2">
      <c r="B201" s="32"/>
      <c r="I201" s="84"/>
      <c r="J201" s="84"/>
    </row>
    <row r="202" spans="1:10" x14ac:dyDescent="0.2">
      <c r="A202" s="101" t="s">
        <v>121</v>
      </c>
      <c r="B202" s="109">
        <f>(130*3*4.3)+(190*2*3*4.3)+(80*2*3*4.3)</f>
        <v>8643</v>
      </c>
      <c r="C202" s="7" t="s">
        <v>311</v>
      </c>
      <c r="I202" s="84"/>
      <c r="J202" s="84"/>
    </row>
    <row r="203" spans="1:10" ht="13.5" thickBot="1" x14ac:dyDescent="0.25">
      <c r="B203" s="32"/>
      <c r="C203" s="7" t="s">
        <v>318</v>
      </c>
      <c r="I203" s="84"/>
      <c r="J203" s="84"/>
    </row>
    <row r="204" spans="1:10" ht="13.5" thickBot="1" x14ac:dyDescent="0.25">
      <c r="A204" s="59" t="s">
        <v>62</v>
      </c>
      <c r="B204" s="60" t="s">
        <v>63</v>
      </c>
      <c r="C204" s="60" t="s">
        <v>268</v>
      </c>
      <c r="D204" s="61" t="s">
        <v>247</v>
      </c>
      <c r="E204" s="61" t="s">
        <v>64</v>
      </c>
      <c r="F204" s="62" t="s">
        <v>65</v>
      </c>
      <c r="I204" s="84"/>
      <c r="J204" s="84"/>
    </row>
    <row r="205" spans="1:10" x14ac:dyDescent="0.2">
      <c r="A205" s="13" t="s">
        <v>15</v>
      </c>
      <c r="B205" s="14" t="s">
        <v>16</v>
      </c>
      <c r="C205" s="96">
        <v>2.2999999999999998</v>
      </c>
      <c r="D205" s="316">
        <v>5.28</v>
      </c>
      <c r="E205" s="15"/>
      <c r="I205" s="84"/>
      <c r="J205" s="84"/>
    </row>
    <row r="206" spans="1:10" x14ac:dyDescent="0.2">
      <c r="A206" s="16" t="s">
        <v>17</v>
      </c>
      <c r="B206" s="17" t="s">
        <v>18</v>
      </c>
      <c r="C206" s="93">
        <f>B202</f>
        <v>8643</v>
      </c>
      <c r="D206" s="317">
        <f>D205/C205</f>
        <v>2.2956521739130435</v>
      </c>
      <c r="E206" s="18">
        <f>C206*D206</f>
        <v>19841.321739130435</v>
      </c>
      <c r="I206" s="84"/>
      <c r="J206" s="84"/>
    </row>
    <row r="207" spans="1:10" x14ac:dyDescent="0.2">
      <c r="A207" s="16" t="s">
        <v>248</v>
      </c>
      <c r="B207" s="17" t="s">
        <v>19</v>
      </c>
      <c r="C207" s="98">
        <v>1</v>
      </c>
      <c r="D207" s="318">
        <v>13.45</v>
      </c>
      <c r="E207" s="18"/>
      <c r="G207" s="107"/>
      <c r="H207" s="52"/>
      <c r="I207" s="84"/>
      <c r="J207" s="84"/>
    </row>
    <row r="208" spans="1:10" x14ac:dyDescent="0.2">
      <c r="A208" s="16" t="s">
        <v>20</v>
      </c>
      <c r="B208" s="17" t="s">
        <v>18</v>
      </c>
      <c r="C208" s="93">
        <f>C206</f>
        <v>8643</v>
      </c>
      <c r="D208" s="319">
        <f>+C207*D207/1000</f>
        <v>1.345E-2</v>
      </c>
      <c r="E208" s="18">
        <f>C208*D208</f>
        <v>116.24835</v>
      </c>
      <c r="G208" s="107"/>
      <c r="H208" s="52"/>
      <c r="I208" s="84"/>
      <c r="J208" s="84"/>
    </row>
    <row r="209" spans="1:10" x14ac:dyDescent="0.2">
      <c r="A209" s="16" t="s">
        <v>249</v>
      </c>
      <c r="B209" s="17" t="s">
        <v>19</v>
      </c>
      <c r="C209" s="98">
        <v>0.85</v>
      </c>
      <c r="D209" s="318">
        <v>15</v>
      </c>
      <c r="E209" s="18"/>
      <c r="G209" s="107"/>
      <c r="H209" s="52"/>
      <c r="I209" s="84"/>
      <c r="J209" s="84"/>
    </row>
    <row r="210" spans="1:10" x14ac:dyDescent="0.2">
      <c r="A210" s="16" t="s">
        <v>21</v>
      </c>
      <c r="B210" s="17" t="s">
        <v>18</v>
      </c>
      <c r="C210" s="93">
        <f>C206</f>
        <v>8643</v>
      </c>
      <c r="D210" s="319">
        <f>+C209*D209/1000</f>
        <v>1.2749999999999999E-2</v>
      </c>
      <c r="E210" s="18">
        <f>C210*D210</f>
        <v>110.19824999999999</v>
      </c>
      <c r="G210" s="107"/>
      <c r="H210" s="52"/>
      <c r="I210" s="84"/>
      <c r="J210" s="84"/>
    </row>
    <row r="211" spans="1:10" x14ac:dyDescent="0.2">
      <c r="A211" s="16" t="s">
        <v>250</v>
      </c>
      <c r="B211" s="17" t="s">
        <v>19</v>
      </c>
      <c r="C211" s="98">
        <v>12</v>
      </c>
      <c r="D211" s="318">
        <v>13.5</v>
      </c>
      <c r="E211" s="18"/>
      <c r="G211" s="107"/>
      <c r="H211" s="52"/>
      <c r="I211" s="84"/>
      <c r="J211" s="84"/>
    </row>
    <row r="212" spans="1:10" x14ac:dyDescent="0.2">
      <c r="A212" s="16" t="s">
        <v>22</v>
      </c>
      <c r="B212" s="17" t="s">
        <v>18</v>
      </c>
      <c r="C212" s="93">
        <f>C206</f>
        <v>8643</v>
      </c>
      <c r="D212" s="319">
        <f>+C211*D211/1000</f>
        <v>0.16200000000000001</v>
      </c>
      <c r="E212" s="18">
        <f>C212*D212</f>
        <v>1400.1659999999999</v>
      </c>
      <c r="G212" s="107"/>
      <c r="H212" s="52"/>
      <c r="I212" s="84"/>
      <c r="J212" s="84"/>
    </row>
    <row r="213" spans="1:10" x14ac:dyDescent="0.2">
      <c r="A213" s="16" t="s">
        <v>23</v>
      </c>
      <c r="B213" s="17" t="s">
        <v>24</v>
      </c>
      <c r="C213" s="98">
        <v>0.5</v>
      </c>
      <c r="D213" s="318">
        <v>11.3</v>
      </c>
      <c r="E213" s="18"/>
      <c r="G213" s="107"/>
      <c r="H213" s="52"/>
      <c r="I213" s="84"/>
      <c r="J213" s="84"/>
    </row>
    <row r="214" spans="1:10" x14ac:dyDescent="0.2">
      <c r="A214" s="16" t="s">
        <v>25</v>
      </c>
      <c r="B214" s="17" t="s">
        <v>18</v>
      </c>
      <c r="C214" s="93">
        <f>C206</f>
        <v>8643</v>
      </c>
      <c r="D214" s="319">
        <f>+C213*D213/1000</f>
        <v>5.6500000000000005E-3</v>
      </c>
      <c r="E214" s="18">
        <f>C214*D214</f>
        <v>48.832950000000004</v>
      </c>
      <c r="G214" s="107"/>
      <c r="H214" s="52"/>
      <c r="I214" s="84"/>
      <c r="J214" s="84"/>
    </row>
    <row r="215" spans="1:10" ht="13.5" thickBot="1" x14ac:dyDescent="0.25">
      <c r="A215" s="101" t="s">
        <v>267</v>
      </c>
      <c r="B215" s="102" t="s">
        <v>122</v>
      </c>
      <c r="C215" s="268"/>
      <c r="D215" s="269">
        <f>D206+D208+D210+D212+D214</f>
        <v>2.4895021739130438</v>
      </c>
      <c r="E215" s="18"/>
      <c r="G215" s="107"/>
      <c r="H215" s="52"/>
      <c r="I215" s="84"/>
      <c r="J215" s="84"/>
    </row>
    <row r="216" spans="1:10" ht="13.5" thickBot="1" x14ac:dyDescent="0.25">
      <c r="F216" s="21">
        <f>SUM(E205:E214)</f>
        <v>21516.767289130439</v>
      </c>
      <c r="I216" s="84"/>
      <c r="J216" s="84"/>
    </row>
    <row r="217" spans="1:10" ht="11.25" customHeight="1" x14ac:dyDescent="0.2">
      <c r="I217" s="84"/>
      <c r="J217" s="84"/>
    </row>
    <row r="218" spans="1:10" ht="13.5" thickBot="1" x14ac:dyDescent="0.25">
      <c r="A218" s="9" t="s">
        <v>51</v>
      </c>
      <c r="I218" s="84"/>
      <c r="J218" s="84"/>
    </row>
    <row r="219" spans="1:10" ht="13.5" thickBot="1" x14ac:dyDescent="0.25">
      <c r="A219" s="59" t="s">
        <v>62</v>
      </c>
      <c r="B219" s="60" t="s">
        <v>63</v>
      </c>
      <c r="C219" s="60" t="s">
        <v>39</v>
      </c>
      <c r="D219" s="61" t="s">
        <v>247</v>
      </c>
      <c r="E219" s="61" t="s">
        <v>64</v>
      </c>
      <c r="F219" s="62" t="s">
        <v>65</v>
      </c>
      <c r="I219" s="84"/>
      <c r="J219" s="84"/>
    </row>
    <row r="220" spans="1:10" ht="13.5" thickBot="1" x14ac:dyDescent="0.25">
      <c r="A220" s="13" t="s">
        <v>120</v>
      </c>
      <c r="B220" s="14" t="s">
        <v>122</v>
      </c>
      <c r="C220" s="93">
        <f>C206</f>
        <v>8643</v>
      </c>
      <c r="D220" s="86">
        <v>0.84</v>
      </c>
      <c r="E220" s="15">
        <f>C220*D220</f>
        <v>7260.12</v>
      </c>
      <c r="I220" s="84"/>
      <c r="J220" s="84"/>
    </row>
    <row r="221" spans="1:10" ht="13.5" thickBot="1" x14ac:dyDescent="0.25">
      <c r="F221" s="21">
        <f>E220</f>
        <v>7260.12</v>
      </c>
      <c r="I221" s="84"/>
      <c r="J221" s="84"/>
    </row>
    <row r="222" spans="1:10" ht="11.25" customHeight="1" x14ac:dyDescent="0.2">
      <c r="I222" s="84"/>
      <c r="J222" s="84"/>
    </row>
    <row r="223" spans="1:10" ht="13.5" thickBot="1" x14ac:dyDescent="0.25">
      <c r="A223" s="9" t="s">
        <v>60</v>
      </c>
      <c r="I223" s="84"/>
      <c r="J223" s="84"/>
    </row>
    <row r="224" spans="1:10" ht="13.5" thickBot="1" x14ac:dyDescent="0.25">
      <c r="A224" s="59" t="s">
        <v>62</v>
      </c>
      <c r="B224" s="60" t="s">
        <v>63</v>
      </c>
      <c r="C224" s="60" t="s">
        <v>39</v>
      </c>
      <c r="D224" s="61" t="s">
        <v>247</v>
      </c>
      <c r="E224" s="61" t="s">
        <v>64</v>
      </c>
      <c r="F224" s="62" t="s">
        <v>65</v>
      </c>
      <c r="I224" s="84"/>
      <c r="J224" s="84"/>
    </row>
    <row r="225" spans="1:10" x14ac:dyDescent="0.2">
      <c r="A225" s="301" t="s">
        <v>301</v>
      </c>
      <c r="B225" s="14" t="s">
        <v>10</v>
      </c>
      <c r="C225" s="95">
        <v>6</v>
      </c>
      <c r="D225" s="86">
        <f>'[1]1. Coleta Domiciliar'!$D$224</f>
        <v>2980</v>
      </c>
      <c r="E225" s="15">
        <f>C225*D225</f>
        <v>17880</v>
      </c>
      <c r="I225" s="84"/>
      <c r="J225" s="84"/>
    </row>
    <row r="226" spans="1:10" x14ac:dyDescent="0.2">
      <c r="A226" s="13" t="s">
        <v>123</v>
      </c>
      <c r="B226" s="14" t="s">
        <v>10</v>
      </c>
      <c r="C226" s="95">
        <v>2</v>
      </c>
      <c r="D226" s="104">
        <f>D227</f>
        <v>730</v>
      </c>
      <c r="E226" s="15">
        <f>D226*C226</f>
        <v>1460</v>
      </c>
      <c r="I226" s="84"/>
      <c r="J226" s="84"/>
    </row>
    <row r="227" spans="1:10" x14ac:dyDescent="0.2">
      <c r="A227" s="13" t="s">
        <v>69</v>
      </c>
      <c r="B227" s="14" t="s">
        <v>10</v>
      </c>
      <c r="C227" s="15">
        <f>C225*C226</f>
        <v>12</v>
      </c>
      <c r="D227" s="86">
        <f>'[1]1. Coleta Domiciliar'!$D$226</f>
        <v>730</v>
      </c>
      <c r="E227" s="15">
        <f>C227*D227</f>
        <v>8760</v>
      </c>
      <c r="I227" s="84"/>
      <c r="J227" s="84"/>
    </row>
    <row r="228" spans="1:10" x14ac:dyDescent="0.2">
      <c r="A228" s="16" t="s">
        <v>95</v>
      </c>
      <c r="B228" s="17" t="s">
        <v>26</v>
      </c>
      <c r="C228" s="97">
        <f>'[1]1. Coleta Domiciliar'!$C$227</f>
        <v>60000</v>
      </c>
      <c r="D228" s="18">
        <f>E225+E227</f>
        <v>26640</v>
      </c>
      <c r="E228" s="18">
        <f>IFERROR(D228/C228,"-")</f>
        <v>0.44400000000000001</v>
      </c>
      <c r="I228" s="84"/>
      <c r="J228" s="84"/>
    </row>
    <row r="229" spans="1:10" ht="13.5" thickBot="1" x14ac:dyDescent="0.25">
      <c r="A229" s="16" t="s">
        <v>53</v>
      </c>
      <c r="B229" s="17" t="s">
        <v>18</v>
      </c>
      <c r="C229" s="93">
        <f>B202</f>
        <v>8643</v>
      </c>
      <c r="D229" s="18">
        <f>E228</f>
        <v>0.44400000000000001</v>
      </c>
      <c r="E229" s="18">
        <f>C229*D229</f>
        <v>3837.4920000000002</v>
      </c>
      <c r="I229" s="84"/>
      <c r="J229" s="84"/>
    </row>
    <row r="230" spans="1:10" ht="13.5" thickBot="1" x14ac:dyDescent="0.25">
      <c r="F230" s="21">
        <f>E229</f>
        <v>3837.4920000000002</v>
      </c>
      <c r="I230" s="84"/>
      <c r="J230" s="84"/>
    </row>
    <row r="231" spans="1:10" ht="11.25" customHeight="1" x14ac:dyDescent="0.2">
      <c r="I231" s="84"/>
      <c r="J231" s="84"/>
    </row>
    <row r="232" spans="1:10" ht="11.25" customHeight="1" thickBot="1" x14ac:dyDescent="0.25">
      <c r="G232" s="9"/>
    </row>
    <row r="233" spans="1:10" ht="13.5" thickBot="1" x14ac:dyDescent="0.25">
      <c r="A233" s="24" t="s">
        <v>235</v>
      </c>
      <c r="B233" s="25"/>
      <c r="C233" s="25"/>
      <c r="D233" s="26"/>
      <c r="E233" s="27"/>
      <c r="F233" s="21">
        <f>(F230+F221+F216+F198+F190+F174+F154)</f>
        <v>40497.961488612302</v>
      </c>
      <c r="G233" s="9"/>
    </row>
    <row r="234" spans="1:10" ht="11.25" customHeight="1" x14ac:dyDescent="0.2">
      <c r="G234" s="9"/>
    </row>
    <row r="235" spans="1:10" x14ac:dyDescent="0.2">
      <c r="A235" s="34" t="s">
        <v>73</v>
      </c>
      <c r="B235" s="34"/>
      <c r="C235" s="34"/>
      <c r="D235" s="35"/>
      <c r="E235" s="35"/>
      <c r="F235" s="33"/>
      <c r="G235" s="9"/>
    </row>
    <row r="236" spans="1:10" ht="11.25" customHeight="1" thickBot="1" x14ac:dyDescent="0.25">
      <c r="G236" s="9"/>
    </row>
    <row r="237" spans="1:10" ht="13.5" thickBot="1" x14ac:dyDescent="0.25">
      <c r="A237" s="59" t="s">
        <v>62</v>
      </c>
      <c r="B237" s="60" t="s">
        <v>63</v>
      </c>
      <c r="C237" s="60" t="s">
        <v>39</v>
      </c>
      <c r="D237" s="61" t="s">
        <v>247</v>
      </c>
      <c r="E237" s="61" t="s">
        <v>64</v>
      </c>
      <c r="F237" s="62" t="s">
        <v>65</v>
      </c>
      <c r="G237" s="9"/>
    </row>
    <row r="238" spans="1:10" x14ac:dyDescent="0.2">
      <c r="A238" s="16" t="s">
        <v>70</v>
      </c>
      <c r="B238" s="17" t="s">
        <v>10</v>
      </c>
      <c r="C238" s="99">
        <v>0.16666666666666666</v>
      </c>
      <c r="D238" s="86">
        <v>34.94</v>
      </c>
      <c r="E238" s="18">
        <f>C238*D238</f>
        <v>5.8233333333333324</v>
      </c>
      <c r="F238" s="55"/>
      <c r="G238" s="9"/>
    </row>
    <row r="239" spans="1:10" x14ac:dyDescent="0.2">
      <c r="A239" s="16" t="s">
        <v>28</v>
      </c>
      <c r="B239" s="17" t="s">
        <v>10</v>
      </c>
      <c r="C239" s="99">
        <v>0.16666666666666666</v>
      </c>
      <c r="D239" s="86">
        <v>22.9</v>
      </c>
      <c r="E239" s="18">
        <f>C239*D239</f>
        <v>3.8166666666666664</v>
      </c>
      <c r="F239" s="55"/>
      <c r="G239" s="9"/>
    </row>
    <row r="240" spans="1:10" x14ac:dyDescent="0.2">
      <c r="A240" s="16" t="s">
        <v>29</v>
      </c>
      <c r="B240" s="17" t="s">
        <v>10</v>
      </c>
      <c r="C240" s="99">
        <v>0.5</v>
      </c>
      <c r="D240" s="86">
        <v>20</v>
      </c>
      <c r="E240" s="18">
        <f>C240*D240</f>
        <v>10</v>
      </c>
      <c r="F240" s="55"/>
      <c r="G240" s="9"/>
    </row>
    <row r="241" spans="1:7" x14ac:dyDescent="0.2">
      <c r="A241" s="16" t="s">
        <v>55</v>
      </c>
      <c r="B241" s="17" t="s">
        <v>56</v>
      </c>
      <c r="C241" s="99">
        <v>8.3333333333333329E-2</v>
      </c>
      <c r="D241" s="86">
        <f>'[1]1. Coleta Domiciliar'!$D$241</f>
        <v>600</v>
      </c>
      <c r="E241" s="18">
        <f>C241*D241</f>
        <v>50</v>
      </c>
      <c r="F241" s="55"/>
      <c r="G241" s="9"/>
    </row>
    <row r="242" spans="1:7" ht="13.5" thickBot="1" x14ac:dyDescent="0.25">
      <c r="A242" s="16" t="s">
        <v>58</v>
      </c>
      <c r="B242" s="17" t="s">
        <v>56</v>
      </c>
      <c r="C242" s="99">
        <v>8.3333333333333329E-2</v>
      </c>
      <c r="D242" s="86">
        <v>200</v>
      </c>
      <c r="E242" s="18">
        <f>C242*D242</f>
        <v>16.666666666666664</v>
      </c>
      <c r="F242" s="55"/>
      <c r="G242" s="9"/>
    </row>
    <row r="243" spans="1:7" ht="13.5" thickBot="1" x14ac:dyDescent="0.25">
      <c r="A243" s="34"/>
      <c r="B243" s="34"/>
      <c r="C243" s="34"/>
      <c r="D243" s="34"/>
      <c r="E243" s="35"/>
      <c r="F243" s="21">
        <f>SUM(E238:E242)</f>
        <v>86.306666666666672</v>
      </c>
      <c r="G243" s="9"/>
    </row>
    <row r="244" spans="1:7" ht="11.25" customHeight="1" thickBot="1" x14ac:dyDescent="0.25">
      <c r="G244" s="9"/>
    </row>
    <row r="245" spans="1:7" ht="13.5" thickBot="1" x14ac:dyDescent="0.25">
      <c r="A245" s="24" t="s">
        <v>236</v>
      </c>
      <c r="B245" s="25"/>
      <c r="C245" s="25"/>
      <c r="D245" s="26"/>
      <c r="E245" s="27"/>
      <c r="F245" s="21">
        <f>+F243</f>
        <v>86.306666666666672</v>
      </c>
      <c r="G245" s="9"/>
    </row>
    <row r="246" spans="1:7" ht="11.25" customHeight="1" x14ac:dyDescent="0.2">
      <c r="G246" s="9"/>
    </row>
    <row r="247" spans="1:7" x14ac:dyDescent="0.2">
      <c r="A247" s="34" t="s">
        <v>74</v>
      </c>
      <c r="B247" s="34"/>
      <c r="C247" s="34"/>
      <c r="D247" s="35"/>
      <c r="E247" s="35"/>
      <c r="F247" s="33"/>
    </row>
    <row r="248" spans="1:7" ht="11.25" customHeight="1" thickBot="1" x14ac:dyDescent="0.25"/>
    <row r="249" spans="1:7" ht="13.5" thickBot="1" x14ac:dyDescent="0.25">
      <c r="A249" s="59" t="s">
        <v>62</v>
      </c>
      <c r="B249" s="60" t="s">
        <v>63</v>
      </c>
      <c r="C249" s="60" t="s">
        <v>39</v>
      </c>
      <c r="D249" s="61" t="s">
        <v>247</v>
      </c>
      <c r="E249" s="61" t="s">
        <v>64</v>
      </c>
      <c r="F249" s="62" t="s">
        <v>65</v>
      </c>
    </row>
    <row r="250" spans="1:7" x14ac:dyDescent="0.2">
      <c r="A250" s="16" t="s">
        <v>233</v>
      </c>
      <c r="B250" s="53" t="s">
        <v>56</v>
      </c>
      <c r="C250" s="68">
        <v>1</v>
      </c>
      <c r="D250" s="88">
        <v>350</v>
      </c>
      <c r="E250" s="18">
        <f>+D250*C250</f>
        <v>350</v>
      </c>
      <c r="F250" s="55"/>
    </row>
    <row r="251" spans="1:7" x14ac:dyDescent="0.2">
      <c r="A251" s="16" t="s">
        <v>59</v>
      </c>
      <c r="B251" s="53" t="s">
        <v>8</v>
      </c>
      <c r="C251" s="150">
        <v>60</v>
      </c>
      <c r="D251" s="79">
        <f>SUM(E250:E250)</f>
        <v>350</v>
      </c>
      <c r="E251" s="79">
        <f>+D251/C251</f>
        <v>5.833333333333333</v>
      </c>
      <c r="F251" s="55"/>
    </row>
    <row r="252" spans="1:7" x14ac:dyDescent="0.2">
      <c r="A252" s="16" t="s">
        <v>234</v>
      </c>
      <c r="B252" s="17" t="s">
        <v>10</v>
      </c>
      <c r="C252" s="68">
        <f>+C250</f>
        <v>1</v>
      </c>
      <c r="D252" s="88">
        <v>120</v>
      </c>
      <c r="E252" s="18">
        <f>C252*D252</f>
        <v>120</v>
      </c>
      <c r="F252" s="55"/>
    </row>
    <row r="253" spans="1:7" ht="13.5" thickBot="1" x14ac:dyDescent="0.25">
      <c r="A253" s="16" t="s">
        <v>36</v>
      </c>
      <c r="B253" s="53" t="s">
        <v>8</v>
      </c>
      <c r="C253" s="150">
        <v>1</v>
      </c>
      <c r="D253" s="79">
        <f>+E252</f>
        <v>120</v>
      </c>
      <c r="E253" s="79">
        <f>+D253/C253</f>
        <v>120</v>
      </c>
      <c r="F253" s="55"/>
    </row>
    <row r="254" spans="1:7" ht="13.5" thickBot="1" x14ac:dyDescent="0.25">
      <c r="A254" s="80"/>
      <c r="B254" s="80"/>
      <c r="C254" s="80"/>
      <c r="D254" s="119" t="s">
        <v>201</v>
      </c>
      <c r="E254" s="50">
        <f>$B$44</f>
        <v>1</v>
      </c>
      <c r="F254" s="81">
        <f>(E251+E253)*E254</f>
        <v>125.83333333333333</v>
      </c>
    </row>
    <row r="255" spans="1:7" s="51" customFormat="1" ht="11.25" customHeight="1" thickBot="1" x14ac:dyDescent="0.25">
      <c r="A255" s="9"/>
      <c r="B255" s="9"/>
      <c r="C255" s="9"/>
      <c r="D255" s="10"/>
      <c r="E255" s="10"/>
      <c r="F255" s="10"/>
      <c r="G255" s="83"/>
    </row>
    <row r="256" spans="1:7" ht="13.5" thickBot="1" x14ac:dyDescent="0.25">
      <c r="A256" s="24" t="s">
        <v>232</v>
      </c>
      <c r="B256" s="25"/>
      <c r="C256" s="25"/>
      <c r="D256" s="26"/>
      <c r="E256" s="27"/>
      <c r="F256" s="21">
        <f>+F254</f>
        <v>125.83333333333333</v>
      </c>
    </row>
    <row r="257" spans="1:7" ht="13.5" thickBot="1" x14ac:dyDescent="0.25">
      <c r="A257" s="24" t="s">
        <v>302</v>
      </c>
      <c r="B257" s="25"/>
      <c r="C257" s="25"/>
      <c r="D257" s="26"/>
      <c r="E257" s="26"/>
      <c r="F257" s="120"/>
    </row>
    <row r="258" spans="1:7" ht="13.5" thickBot="1" x14ac:dyDescent="0.25">
      <c r="A258" s="59" t="s">
        <v>62</v>
      </c>
      <c r="B258" s="60" t="s">
        <v>63</v>
      </c>
      <c r="C258" s="60" t="s">
        <v>39</v>
      </c>
      <c r="D258" s="61" t="s">
        <v>247</v>
      </c>
      <c r="E258" s="61" t="s">
        <v>64</v>
      </c>
      <c r="F258" s="62" t="s">
        <v>65</v>
      </c>
    </row>
    <row r="259" spans="1:7" x14ac:dyDescent="0.2">
      <c r="A259" s="303" t="s">
        <v>303</v>
      </c>
      <c r="B259" s="53" t="s">
        <v>63</v>
      </c>
      <c r="C259" s="68">
        <v>100</v>
      </c>
      <c r="D259" s="88">
        <f>'[1]1. Coleta Domiciliar'!$D$259</f>
        <v>2198</v>
      </c>
      <c r="E259" s="18">
        <f>D259*C259</f>
        <v>219800</v>
      </c>
      <c r="F259" s="55"/>
    </row>
    <row r="260" spans="1:7" x14ac:dyDescent="0.2">
      <c r="A260" s="303" t="s">
        <v>304</v>
      </c>
      <c r="B260" s="53" t="s">
        <v>63</v>
      </c>
      <c r="C260" s="150">
        <v>12</v>
      </c>
      <c r="D260" s="79">
        <f>D259</f>
        <v>2198</v>
      </c>
      <c r="E260" s="79">
        <f>D260*C260</f>
        <v>26376</v>
      </c>
      <c r="F260" s="55"/>
    </row>
    <row r="261" spans="1:7" ht="13.5" thickBot="1" x14ac:dyDescent="0.25">
      <c r="A261" s="303" t="s">
        <v>305</v>
      </c>
      <c r="B261" s="304" t="s">
        <v>8</v>
      </c>
      <c r="C261" s="68">
        <v>60</v>
      </c>
      <c r="D261" s="88">
        <f>E260+E259</f>
        <v>246176</v>
      </c>
      <c r="E261" s="18">
        <f>D261/C261</f>
        <v>4102.9333333333334</v>
      </c>
      <c r="F261" s="55"/>
    </row>
    <row r="262" spans="1:7" ht="13.5" thickBot="1" x14ac:dyDescent="0.25">
      <c r="A262" s="80"/>
      <c r="B262" s="80"/>
      <c r="C262" s="80"/>
      <c r="D262" s="119" t="s">
        <v>201</v>
      </c>
      <c r="E262" s="50">
        <f>$B$44</f>
        <v>1</v>
      </c>
      <c r="F262" s="81">
        <f>E261</f>
        <v>4102.9333333333334</v>
      </c>
    </row>
    <row r="263" spans="1:7" s="51" customFormat="1" ht="11.25" customHeight="1" thickBot="1" x14ac:dyDescent="0.25">
      <c r="A263" s="9"/>
      <c r="B263" s="9"/>
      <c r="C263" s="9"/>
      <c r="D263" s="10"/>
      <c r="E263" s="10"/>
      <c r="F263" s="10"/>
      <c r="G263" s="83"/>
    </row>
    <row r="264" spans="1:7" ht="13.5" thickBot="1" x14ac:dyDescent="0.25">
      <c r="A264" s="24" t="s">
        <v>306</v>
      </c>
      <c r="B264" s="25"/>
      <c r="C264" s="25"/>
      <c r="D264" s="26"/>
      <c r="E264" s="27"/>
      <c r="F264" s="21">
        <f>+F262</f>
        <v>4102.9333333333334</v>
      </c>
    </row>
    <row r="265" spans="1:7" ht="13.5" thickBot="1" x14ac:dyDescent="0.25">
      <c r="A265" s="34"/>
      <c r="B265" s="34"/>
      <c r="C265" s="34"/>
      <c r="D265" s="35"/>
      <c r="E265" s="35"/>
      <c r="F265" s="302"/>
    </row>
    <row r="266" spans="1:7" ht="17.25" customHeight="1" thickBot="1" x14ac:dyDescent="0.25">
      <c r="A266" s="24" t="s">
        <v>237</v>
      </c>
      <c r="B266" s="28"/>
      <c r="C266" s="28"/>
      <c r="D266" s="29"/>
      <c r="E266" s="30"/>
      <c r="F266" s="311">
        <f>F264+F256+F245+F233+F120</f>
        <v>58312.512673945632</v>
      </c>
    </row>
    <row r="267" spans="1:7" ht="11.25" customHeight="1" x14ac:dyDescent="0.2">
      <c r="F267" s="312"/>
    </row>
    <row r="268" spans="1:7" x14ac:dyDescent="0.2">
      <c r="A268" s="11" t="s">
        <v>307</v>
      </c>
      <c r="F268" s="312"/>
    </row>
    <row r="269" spans="1:7" ht="11.25" customHeight="1" thickBot="1" x14ac:dyDescent="0.25">
      <c r="F269" s="312"/>
    </row>
    <row r="270" spans="1:7" ht="13.5" thickBot="1" x14ac:dyDescent="0.25">
      <c r="A270" s="59" t="s">
        <v>62</v>
      </c>
      <c r="B270" s="60" t="s">
        <v>63</v>
      </c>
      <c r="C270" s="60" t="s">
        <v>39</v>
      </c>
      <c r="D270" s="61" t="s">
        <v>247</v>
      </c>
      <c r="E270" s="61" t="s">
        <v>64</v>
      </c>
      <c r="F270" s="313" t="s">
        <v>65</v>
      </c>
    </row>
    <row r="271" spans="1:7" ht="13.5" thickBot="1" x14ac:dyDescent="0.25">
      <c r="A271" s="13" t="s">
        <v>35</v>
      </c>
      <c r="B271" s="14" t="s">
        <v>2</v>
      </c>
      <c r="C271" s="314">
        <f>'4.BDI'!C18</f>
        <v>0.26790000000000003</v>
      </c>
      <c r="D271" s="15">
        <f>+F266</f>
        <v>58312.512673945632</v>
      </c>
      <c r="E271" s="15">
        <f>D271*C271</f>
        <v>15621.922145350036</v>
      </c>
      <c r="F271" s="312"/>
    </row>
    <row r="272" spans="1:7" ht="13.5" thickBot="1" x14ac:dyDescent="0.25">
      <c r="F272" s="81">
        <f>+E271</f>
        <v>15621.922145350036</v>
      </c>
    </row>
    <row r="273" spans="1:7" ht="11.25" customHeight="1" thickBot="1" x14ac:dyDescent="0.25">
      <c r="F273" s="312"/>
    </row>
    <row r="274" spans="1:7" ht="13.5" thickBot="1" x14ac:dyDescent="0.25">
      <c r="A274" s="24" t="s">
        <v>252</v>
      </c>
      <c r="B274" s="28"/>
      <c r="C274" s="28"/>
      <c r="D274" s="29"/>
      <c r="E274" s="30"/>
      <c r="F274" s="311">
        <f>F272</f>
        <v>15621.922145350036</v>
      </c>
    </row>
    <row r="275" spans="1:7" x14ac:dyDescent="0.2">
      <c r="A275" s="34"/>
      <c r="B275" s="34"/>
      <c r="C275" s="34"/>
      <c r="D275" s="35"/>
      <c r="E275" s="35"/>
      <c r="F275" s="33"/>
    </row>
    <row r="276" spans="1:7" ht="11.25" customHeight="1" thickBot="1" x14ac:dyDescent="0.25"/>
    <row r="277" spans="1:7" ht="24.75" customHeight="1" thickBot="1" x14ac:dyDescent="0.25">
      <c r="A277" s="24" t="s">
        <v>238</v>
      </c>
      <c r="B277" s="28"/>
      <c r="C277" s="28"/>
      <c r="D277" s="29"/>
      <c r="E277" s="30"/>
      <c r="F277" s="22">
        <f>F266+F274+F154</f>
        <v>75020.134819295665</v>
      </c>
    </row>
    <row r="278" spans="1:7" ht="12.6" customHeight="1" x14ac:dyDescent="0.2">
      <c r="A278" s="56"/>
      <c r="B278" s="56"/>
      <c r="C278" s="56"/>
      <c r="D278" s="57"/>
      <c r="E278" s="57"/>
      <c r="F278" s="57"/>
    </row>
    <row r="279" spans="1:7" ht="14.25" x14ac:dyDescent="0.2">
      <c r="A279" s="8"/>
      <c r="B279" s="8"/>
      <c r="C279" s="8"/>
      <c r="D279" s="36"/>
      <c r="E279" s="36"/>
    </row>
    <row r="280" spans="1:7" ht="16.149999999999999" customHeight="1" x14ac:dyDescent="0.2">
      <c r="A280" s="250" t="s">
        <v>231</v>
      </c>
      <c r="B280" s="251"/>
      <c r="C280" s="251"/>
      <c r="D280" s="252">
        <v>90</v>
      </c>
      <c r="E280" s="253" t="s">
        <v>27</v>
      </c>
      <c r="G280" s="10" t="s">
        <v>211</v>
      </c>
    </row>
    <row r="281" spans="1:7" s="7" customFormat="1" x14ac:dyDescent="0.2">
      <c r="A281" s="320" t="s">
        <v>312</v>
      </c>
      <c r="B281" s="321"/>
      <c r="C281" s="322">
        <f>F277/D280</f>
        <v>833.55705354772965</v>
      </c>
      <c r="D281" s="323"/>
      <c r="E281" s="324"/>
      <c r="F281" s="325"/>
      <c r="G281" s="325"/>
    </row>
    <row r="282" spans="1:7" ht="12.6" customHeight="1" x14ac:dyDescent="0.2">
      <c r="A282" s="34"/>
      <c r="B282" s="34"/>
      <c r="C282" s="34"/>
      <c r="D282" s="35"/>
      <c r="E282" s="35"/>
      <c r="F282" s="35"/>
    </row>
    <row r="283" spans="1:7" s="4" customFormat="1" ht="9.75" customHeight="1" x14ac:dyDescent="0.2">
      <c r="A283" s="39"/>
      <c r="B283" s="10"/>
      <c r="C283" s="10"/>
      <c r="D283" s="10"/>
      <c r="E283" s="10"/>
      <c r="F283" s="10"/>
      <c r="G283" s="6"/>
    </row>
    <row r="284" spans="1:7" s="4" customFormat="1" ht="9.75" customHeight="1" x14ac:dyDescent="0.2">
      <c r="A284" s="39"/>
      <c r="B284" s="10"/>
      <c r="C284" s="10"/>
      <c r="D284" s="10"/>
      <c r="E284" s="10"/>
      <c r="F284" s="10"/>
      <c r="G284" s="6"/>
    </row>
    <row r="285" spans="1:7" s="4" customFormat="1" ht="9.75" customHeight="1" x14ac:dyDescent="0.2">
      <c r="A285" s="39"/>
      <c r="B285" s="10"/>
      <c r="C285" s="10"/>
      <c r="D285" s="10"/>
      <c r="E285" s="10"/>
      <c r="F285" s="10"/>
      <c r="G285" s="6"/>
    </row>
    <row r="315" s="9" customFormat="1" ht="9" customHeight="1" x14ac:dyDescent="0.2"/>
  </sheetData>
  <mergeCells count="7">
    <mergeCell ref="A40:D40"/>
    <mergeCell ref="A16:C16"/>
    <mergeCell ref="A3:F3"/>
    <mergeCell ref="A4:F4"/>
    <mergeCell ref="A33:D33"/>
    <mergeCell ref="A6:F6"/>
    <mergeCell ref="A32:E32"/>
  </mergeCells>
  <phoneticPr fontId="9" type="noConversion"/>
  <hyperlinks>
    <hyperlink ref="A176" location="AbaRemun" display="3.1.2. Remuneração do Capital" xr:uid="{00000000-0004-0000-0000-000000000000}"/>
    <hyperlink ref="A160" location="AbaDeprec" display="3.1.1. Depreciação" xr:uid="{00000000-0004-0000-0000-000001000000}"/>
  </hyperlinks>
  <pageMargins left="0.31496062992125984" right="0.19685039370078741" top="0.35433070866141736" bottom="0.35433070866141736" header="0.31496062992125984" footer="0.31496062992125984"/>
  <pageSetup paperSize="9" scale="80" fitToHeight="0" orientation="portrait" r:id="rId1"/>
  <headerFooter alignWithMargins="0">
    <oddFooter>&amp;R&amp;P de &amp;N</oddFooter>
  </headerFooter>
  <rowBreaks count="4" manualBreakCount="4">
    <brk id="45" max="5" man="1"/>
    <brk id="98" max="5" man="1"/>
    <brk id="161" max="5" man="1"/>
    <brk id="222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opLeftCell="A16" workbookViewId="0">
      <selection activeCell="D8" sqref="D8"/>
    </sheetView>
  </sheetViews>
  <sheetFormatPr defaultColWidth="9.140625" defaultRowHeight="12.75" x14ac:dyDescent="0.2"/>
  <cols>
    <col min="1" max="1" width="13.5703125" style="1" customWidth="1"/>
    <col min="2" max="2" width="36.7109375" style="1" bestFit="1" customWidth="1"/>
    <col min="3" max="3" width="14.5703125" style="1" customWidth="1"/>
    <col min="4" max="4" width="37.28515625" style="153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209</v>
      </c>
    </row>
    <row r="2" spans="1:12" x14ac:dyDescent="0.2">
      <c r="A2" s="136" t="s">
        <v>259</v>
      </c>
    </row>
    <row r="3" spans="1:12" ht="13.5" thickBot="1" x14ac:dyDescent="0.25"/>
    <row r="4" spans="1:12" ht="18" x14ac:dyDescent="0.2">
      <c r="A4" s="347" t="s">
        <v>241</v>
      </c>
      <c r="B4" s="348"/>
      <c r="C4" s="349"/>
      <c r="D4" s="145"/>
      <c r="E4" s="145"/>
      <c r="F4" s="145"/>
    </row>
    <row r="5" spans="1:12" ht="14.25" x14ac:dyDescent="0.2">
      <c r="A5" s="166" t="s">
        <v>146</v>
      </c>
      <c r="B5" s="167" t="s">
        <v>147</v>
      </c>
      <c r="C5" s="168" t="s">
        <v>148</v>
      </c>
      <c r="D5" s="169"/>
    </row>
    <row r="6" spans="1:12" ht="14.25" x14ac:dyDescent="0.2">
      <c r="A6" s="166" t="s">
        <v>149</v>
      </c>
      <c r="B6" s="167" t="s">
        <v>40</v>
      </c>
      <c r="C6" s="170">
        <v>0.2</v>
      </c>
      <c r="D6" s="169"/>
      <c r="F6" s="153"/>
      <c r="G6" s="153"/>
      <c r="H6" s="153"/>
      <c r="I6" s="153"/>
      <c r="J6" s="153"/>
      <c r="K6" s="153"/>
      <c r="L6" s="153"/>
    </row>
    <row r="7" spans="1:12" ht="14.25" x14ac:dyDescent="0.2">
      <c r="A7" s="166" t="s">
        <v>150</v>
      </c>
      <c r="B7" s="167" t="s">
        <v>151</v>
      </c>
      <c r="C7" s="170">
        <v>1.4999999999999999E-2</v>
      </c>
      <c r="D7" s="169"/>
      <c r="F7" s="153"/>
      <c r="G7" s="153"/>
      <c r="H7" s="153"/>
      <c r="I7" s="153"/>
      <c r="J7" s="153"/>
      <c r="K7" s="153"/>
      <c r="L7" s="153"/>
    </row>
    <row r="8" spans="1:12" ht="14.25" x14ac:dyDescent="0.2">
      <c r="A8" s="166" t="s">
        <v>152</v>
      </c>
      <c r="B8" s="167" t="s">
        <v>153</v>
      </c>
      <c r="C8" s="170">
        <v>0.01</v>
      </c>
      <c r="D8" s="169"/>
      <c r="F8" s="153"/>
      <c r="G8" s="153"/>
      <c r="H8" s="153"/>
      <c r="I8" s="153"/>
      <c r="J8" s="153"/>
      <c r="K8" s="153"/>
      <c r="L8" s="153"/>
    </row>
    <row r="9" spans="1:12" ht="14.25" x14ac:dyDescent="0.2">
      <c r="A9" s="166" t="s">
        <v>154</v>
      </c>
      <c r="B9" s="167" t="s">
        <v>155</v>
      </c>
      <c r="C9" s="170">
        <v>2E-3</v>
      </c>
      <c r="D9" s="169"/>
      <c r="F9" s="153"/>
      <c r="G9" s="153"/>
      <c r="H9" s="153"/>
      <c r="I9" s="153"/>
      <c r="J9" s="153"/>
      <c r="K9" s="153"/>
      <c r="L9" s="153"/>
    </row>
    <row r="10" spans="1:12" ht="14.25" x14ac:dyDescent="0.2">
      <c r="A10" s="166" t="s">
        <v>156</v>
      </c>
      <c r="B10" s="167" t="s">
        <v>157</v>
      </c>
      <c r="C10" s="170">
        <v>6.0000000000000001E-3</v>
      </c>
      <c r="D10" s="169"/>
      <c r="F10" s="153"/>
      <c r="G10" s="153"/>
      <c r="H10" s="153"/>
      <c r="I10" s="153"/>
      <c r="J10" s="153"/>
      <c r="K10" s="153"/>
      <c r="L10" s="153"/>
    </row>
    <row r="11" spans="1:12" ht="14.25" x14ac:dyDescent="0.2">
      <c r="A11" s="166" t="s">
        <v>158</v>
      </c>
      <c r="B11" s="167" t="s">
        <v>159</v>
      </c>
      <c r="C11" s="170">
        <v>2.5000000000000001E-2</v>
      </c>
      <c r="D11" s="169"/>
      <c r="F11" s="153"/>
      <c r="G11" s="153"/>
      <c r="H11" s="153"/>
      <c r="I11" s="153"/>
      <c r="J11" s="153"/>
      <c r="K11" s="153"/>
      <c r="L11" s="153"/>
    </row>
    <row r="12" spans="1:12" ht="14.25" x14ac:dyDescent="0.2">
      <c r="A12" s="166" t="s">
        <v>160</v>
      </c>
      <c r="B12" s="167" t="s">
        <v>161</v>
      </c>
      <c r="C12" s="170">
        <v>0.03</v>
      </c>
      <c r="D12" s="169"/>
      <c r="F12" s="153"/>
      <c r="G12" s="153"/>
      <c r="H12" s="153"/>
      <c r="I12" s="153"/>
      <c r="J12" s="153"/>
      <c r="K12" s="153"/>
      <c r="L12" s="153"/>
    </row>
    <row r="13" spans="1:12" ht="14.25" x14ac:dyDescent="0.2">
      <c r="A13" s="166" t="s">
        <v>162</v>
      </c>
      <c r="B13" s="167" t="s">
        <v>41</v>
      </c>
      <c r="C13" s="170">
        <v>0.08</v>
      </c>
      <c r="D13" s="171"/>
      <c r="F13" s="153"/>
      <c r="G13" s="153"/>
      <c r="H13" s="153"/>
      <c r="I13" s="153"/>
      <c r="J13" s="153"/>
      <c r="K13" s="153"/>
      <c r="L13" s="153"/>
    </row>
    <row r="14" spans="1:12" ht="15" x14ac:dyDescent="0.2">
      <c r="A14" s="166" t="s">
        <v>163</v>
      </c>
      <c r="B14" s="172" t="s">
        <v>164</v>
      </c>
      <c r="C14" s="173">
        <f>SUM(C6:C13)</f>
        <v>0.36800000000000005</v>
      </c>
      <c r="D14" s="171"/>
      <c r="F14" s="153"/>
      <c r="G14" s="153"/>
      <c r="H14" s="153"/>
      <c r="I14" s="153"/>
      <c r="J14" s="153"/>
      <c r="K14" s="153"/>
      <c r="L14" s="153"/>
    </row>
    <row r="15" spans="1:12" ht="15" x14ac:dyDescent="0.2">
      <c r="A15" s="174"/>
      <c r="B15" s="175"/>
      <c r="C15" s="176"/>
      <c r="D15" s="171"/>
      <c r="F15" s="153"/>
      <c r="G15" s="153"/>
      <c r="H15" s="153"/>
      <c r="I15" s="153"/>
      <c r="J15" s="153"/>
      <c r="K15" s="153"/>
      <c r="L15" s="153"/>
    </row>
    <row r="16" spans="1:12" ht="14.25" x14ac:dyDescent="0.2">
      <c r="A16" s="166" t="s">
        <v>165</v>
      </c>
      <c r="B16" s="177" t="s">
        <v>166</v>
      </c>
      <c r="C16" s="170">
        <f>ROUND(IF('3.CAGED'!C39&gt;24,(1-12/'3.CAGED'!C39)*0.1111,0.1111-C25),4)</f>
        <v>5.74E-2</v>
      </c>
      <c r="D16" s="171"/>
      <c r="F16" s="153"/>
      <c r="G16" s="153"/>
      <c r="H16" s="153"/>
      <c r="I16" s="153"/>
      <c r="J16" s="153"/>
      <c r="K16" s="153"/>
      <c r="L16" s="153"/>
    </row>
    <row r="17" spans="1:12" ht="14.25" x14ac:dyDescent="0.2">
      <c r="A17" s="166" t="s">
        <v>167</v>
      </c>
      <c r="B17" s="177" t="s">
        <v>168</v>
      </c>
      <c r="C17" s="170">
        <f>ROUND('3.CAGED'!C33/'3.CAGED'!C30,4)</f>
        <v>8.3299999999999999E-2</v>
      </c>
      <c r="D17" s="171"/>
      <c r="F17" s="153"/>
      <c r="G17" s="153"/>
      <c r="H17" s="153"/>
      <c r="I17" s="153"/>
      <c r="J17" s="153"/>
      <c r="K17" s="153"/>
      <c r="L17" s="153"/>
    </row>
    <row r="18" spans="1:12" ht="14.25" x14ac:dyDescent="0.2">
      <c r="A18" s="166" t="s">
        <v>230</v>
      </c>
      <c r="B18" s="177" t="s">
        <v>170</v>
      </c>
      <c r="C18" s="170">
        <v>5.9999999999999995E-4</v>
      </c>
      <c r="D18" s="171"/>
      <c r="F18" s="153"/>
      <c r="G18" s="153"/>
      <c r="H18" s="153"/>
      <c r="I18" s="153"/>
      <c r="J18" s="153"/>
      <c r="K18" s="153"/>
      <c r="L18" s="153"/>
    </row>
    <row r="19" spans="1:12" ht="14.25" x14ac:dyDescent="0.2">
      <c r="A19" s="166" t="s">
        <v>169</v>
      </c>
      <c r="B19" s="177" t="s">
        <v>172</v>
      </c>
      <c r="C19" s="170">
        <v>8.2000000000000007E-3</v>
      </c>
      <c r="D19" s="171"/>
      <c r="F19" s="153"/>
      <c r="G19" s="153"/>
      <c r="H19" s="153"/>
      <c r="I19" s="153"/>
      <c r="J19" s="153"/>
      <c r="K19" s="153"/>
      <c r="L19" s="153"/>
    </row>
    <row r="20" spans="1:12" ht="14.25" x14ac:dyDescent="0.2">
      <c r="A20" s="166" t="s">
        <v>171</v>
      </c>
      <c r="B20" s="177" t="s">
        <v>174</v>
      </c>
      <c r="C20" s="170">
        <v>3.0999999999999999E-3</v>
      </c>
      <c r="D20" s="171"/>
      <c r="F20" s="153"/>
      <c r="G20" s="153"/>
      <c r="H20" s="153"/>
      <c r="I20" s="153"/>
      <c r="J20" s="153"/>
      <c r="K20" s="153"/>
      <c r="L20" s="153"/>
    </row>
    <row r="21" spans="1:12" ht="14.25" x14ac:dyDescent="0.2">
      <c r="A21" s="166" t="s">
        <v>173</v>
      </c>
      <c r="B21" s="177" t="s">
        <v>175</v>
      </c>
      <c r="C21" s="170">
        <v>1.66E-2</v>
      </c>
      <c r="D21" s="171"/>
      <c r="F21" s="153"/>
      <c r="G21" s="153"/>
      <c r="H21" s="153"/>
      <c r="I21" s="153"/>
      <c r="J21" s="153"/>
      <c r="K21" s="153"/>
      <c r="L21" s="153"/>
    </row>
    <row r="22" spans="1:12" ht="15" x14ac:dyDescent="0.2">
      <c r="A22" s="166" t="s">
        <v>176</v>
      </c>
      <c r="B22" s="172" t="s">
        <v>177</v>
      </c>
      <c r="C22" s="173">
        <f>SUM(C16:C21)</f>
        <v>0.16919999999999999</v>
      </c>
      <c r="D22" s="178"/>
      <c r="F22" s="153"/>
      <c r="G22" s="153"/>
      <c r="H22" s="153"/>
      <c r="I22" s="153"/>
      <c r="J22" s="153"/>
      <c r="K22" s="153"/>
      <c r="L22" s="153"/>
    </row>
    <row r="23" spans="1:12" ht="15" x14ac:dyDescent="0.2">
      <c r="A23" s="174"/>
      <c r="B23" s="175"/>
      <c r="C23" s="176"/>
      <c r="D23" s="178"/>
      <c r="F23" s="153"/>
      <c r="G23" s="153"/>
      <c r="H23" s="153"/>
      <c r="I23" s="153"/>
      <c r="J23" s="153"/>
      <c r="K23" s="153"/>
      <c r="L23" s="153"/>
    </row>
    <row r="24" spans="1:12" ht="14.25" x14ac:dyDescent="0.2">
      <c r="A24" s="166" t="s">
        <v>178</v>
      </c>
      <c r="B24" s="167" t="s">
        <v>179</v>
      </c>
      <c r="C24" s="170">
        <f>ROUND(('3.CAGED'!C38) *'3.CAGED'!C29/'3.CAGED'!C30,4)</f>
        <v>3.9E-2</v>
      </c>
      <c r="D24" s="171"/>
      <c r="E24" s="179"/>
      <c r="F24" s="153"/>
      <c r="G24" s="153"/>
      <c r="H24" s="153"/>
      <c r="I24" s="153"/>
      <c r="J24" s="153"/>
      <c r="K24" s="153"/>
      <c r="L24" s="153"/>
    </row>
    <row r="25" spans="1:12" ht="14.25" x14ac:dyDescent="0.2">
      <c r="A25" s="166" t="s">
        <v>229</v>
      </c>
      <c r="B25" s="167" t="s">
        <v>181</v>
      </c>
      <c r="C25" s="170">
        <f>ROUND(IF('3.CAGED'!C39&gt;12,12/'3.CAGED'!C39*0.1111,0.1111),4)</f>
        <v>5.3699999999999998E-2</v>
      </c>
      <c r="D25" s="171"/>
      <c r="F25" s="153"/>
      <c r="G25" s="153"/>
      <c r="H25" s="180"/>
      <c r="I25" s="153"/>
      <c r="J25" s="153"/>
      <c r="K25" s="153"/>
      <c r="L25" s="153"/>
    </row>
    <row r="26" spans="1:12" ht="14.25" x14ac:dyDescent="0.2">
      <c r="A26" s="166" t="s">
        <v>180</v>
      </c>
      <c r="B26" s="167" t="s">
        <v>183</v>
      </c>
      <c r="C26" s="170">
        <f>ROUND(('3.CAGED'!C32+'3.CAGED'!C31)/360*C24,4)</f>
        <v>4.3E-3</v>
      </c>
      <c r="D26" s="171"/>
      <c r="F26" s="153"/>
      <c r="G26" s="153"/>
      <c r="H26" s="153"/>
      <c r="I26" s="153"/>
      <c r="J26" s="153"/>
      <c r="K26" s="153"/>
      <c r="L26" s="153"/>
    </row>
    <row r="27" spans="1:12" ht="14.25" x14ac:dyDescent="0.2">
      <c r="A27" s="166" t="s">
        <v>182</v>
      </c>
      <c r="B27" s="167" t="s">
        <v>185</v>
      </c>
      <c r="C27" s="170">
        <f>ROUND(('3.CAGED'!C30+'3.CAGED'!C31+'3.CAGED'!C33)/'3.CAGED'!C28*'3.CAGED'!C35*'3.CAGED'!C36*'3.CAGED'!C29/'3.CAGED'!C30,4)</f>
        <v>3.5900000000000001E-2</v>
      </c>
      <c r="D27" s="171"/>
      <c r="F27" s="153"/>
      <c r="G27" s="181"/>
      <c r="H27" s="153"/>
      <c r="I27" s="153"/>
      <c r="J27" s="153"/>
      <c r="K27" s="153"/>
      <c r="L27" s="153"/>
    </row>
    <row r="28" spans="1:12" ht="14.25" x14ac:dyDescent="0.2">
      <c r="A28" s="166" t="s">
        <v>184</v>
      </c>
      <c r="B28" s="167" t="s">
        <v>186</v>
      </c>
      <c r="C28" s="170">
        <f>ROUND(('3.CAGED'!C32/'3.CAGED'!C30)*'3.CAGED'!C29/12,4)</f>
        <v>2.7000000000000001E-3</v>
      </c>
      <c r="D28" s="171"/>
      <c r="F28" s="153"/>
      <c r="G28" s="153"/>
      <c r="H28" s="153"/>
      <c r="I28" s="153"/>
      <c r="J28" s="153"/>
      <c r="K28" s="153"/>
      <c r="L28" s="153"/>
    </row>
    <row r="29" spans="1:12" ht="15" x14ac:dyDescent="0.2">
      <c r="A29" s="166" t="s">
        <v>187</v>
      </c>
      <c r="B29" s="172" t="s">
        <v>188</v>
      </c>
      <c r="C29" s="173">
        <f>SUM(C24:C28)</f>
        <v>0.13560000000000003</v>
      </c>
      <c r="D29" s="178"/>
      <c r="F29" s="153"/>
      <c r="G29" s="153"/>
      <c r="H29" s="153"/>
      <c r="I29" s="153"/>
      <c r="J29" s="153"/>
      <c r="K29" s="153"/>
      <c r="L29" s="153"/>
    </row>
    <row r="30" spans="1:12" ht="15" x14ac:dyDescent="0.2">
      <c r="A30" s="174"/>
      <c r="B30" s="175"/>
      <c r="C30" s="176"/>
      <c r="D30" s="178"/>
      <c r="F30" s="153"/>
      <c r="G30" s="153"/>
      <c r="H30" s="153"/>
      <c r="I30" s="153"/>
      <c r="J30" s="153"/>
      <c r="K30" s="153"/>
      <c r="L30" s="153"/>
    </row>
    <row r="31" spans="1:12" ht="14.25" x14ac:dyDescent="0.2">
      <c r="A31" s="166" t="s">
        <v>189</v>
      </c>
      <c r="B31" s="167" t="s">
        <v>190</v>
      </c>
      <c r="C31" s="170">
        <f>ROUND(C14*C22,4)</f>
        <v>6.2300000000000001E-2</v>
      </c>
      <c r="D31" s="171"/>
      <c r="F31" s="153"/>
      <c r="G31" s="153"/>
      <c r="H31" s="153"/>
      <c r="I31" s="153"/>
      <c r="J31" s="153"/>
      <c r="K31" s="153"/>
      <c r="L31" s="153"/>
    </row>
    <row r="32" spans="1:12" ht="28.5" x14ac:dyDescent="0.2">
      <c r="A32" s="166" t="s">
        <v>191</v>
      </c>
      <c r="B32" s="182" t="s">
        <v>192</v>
      </c>
      <c r="C32" s="170">
        <f>ROUND((C24*C14),4)</f>
        <v>1.44E-2</v>
      </c>
      <c r="D32" s="171"/>
      <c r="F32" s="153"/>
      <c r="G32" s="153"/>
      <c r="H32" s="153"/>
      <c r="I32" s="153"/>
      <c r="J32" s="153"/>
      <c r="K32" s="153"/>
      <c r="L32" s="153"/>
    </row>
    <row r="33" spans="1:12" ht="15" x14ac:dyDescent="0.2">
      <c r="A33" s="166" t="s">
        <v>193</v>
      </c>
      <c r="B33" s="172" t="s">
        <v>194</v>
      </c>
      <c r="C33" s="173">
        <f>SUM(C31:C32)</f>
        <v>7.6700000000000004E-2</v>
      </c>
      <c r="D33" s="183"/>
      <c r="F33" s="153"/>
      <c r="G33" s="153"/>
      <c r="H33" s="153"/>
      <c r="I33" s="153"/>
      <c r="J33" s="153"/>
      <c r="K33" s="153"/>
      <c r="L33" s="153"/>
    </row>
    <row r="34" spans="1:12" ht="15.75" thickBot="1" x14ac:dyDescent="0.25">
      <c r="A34" s="184"/>
      <c r="B34" s="185" t="s">
        <v>195</v>
      </c>
      <c r="C34" s="186">
        <f>C33+C29+C22+C14</f>
        <v>0.74950000000000006</v>
      </c>
      <c r="D34" s="183"/>
      <c r="F34" s="153"/>
      <c r="G34" s="153"/>
      <c r="H34" s="153"/>
      <c r="I34" s="153"/>
      <c r="J34" s="153"/>
      <c r="K34" s="153"/>
      <c r="L34" s="153"/>
    </row>
    <row r="35" spans="1:12" ht="15" x14ac:dyDescent="0.2">
      <c r="A35" s="171"/>
      <c r="B35" s="187"/>
      <c r="C35" s="188"/>
      <c r="D35" s="189"/>
      <c r="F35" s="153"/>
      <c r="G35" s="153"/>
      <c r="H35" s="153"/>
      <c r="I35" s="153"/>
      <c r="J35" s="153"/>
      <c r="K35" s="153"/>
      <c r="L35" s="153"/>
    </row>
    <row r="36" spans="1:12" ht="14.25" x14ac:dyDescent="0.2">
      <c r="A36" s="171"/>
      <c r="B36" s="171"/>
      <c r="C36" s="190"/>
      <c r="D36" s="191"/>
      <c r="F36" s="153"/>
      <c r="G36" s="153"/>
      <c r="H36" s="153"/>
      <c r="I36" s="153"/>
      <c r="J36" s="153"/>
      <c r="K36" s="153"/>
      <c r="L36" s="153"/>
    </row>
    <row r="37" spans="1:12" ht="14.25" x14ac:dyDescent="0.2">
      <c r="A37" s="169"/>
      <c r="B37" s="169"/>
      <c r="C37" s="192"/>
      <c r="D37" s="169"/>
      <c r="F37" s="153"/>
      <c r="G37" s="153"/>
      <c r="H37" s="153"/>
      <c r="I37" s="153"/>
      <c r="J37" s="153"/>
      <c r="K37" s="153"/>
      <c r="L37" s="153"/>
    </row>
    <row r="38" spans="1:12" ht="14.25" x14ac:dyDescent="0.2">
      <c r="A38" s="169"/>
      <c r="B38" s="169"/>
      <c r="C38" s="192"/>
      <c r="D38" s="169"/>
      <c r="F38" s="153"/>
      <c r="G38" s="153"/>
      <c r="H38" s="153"/>
      <c r="I38" s="153"/>
      <c r="J38" s="153"/>
      <c r="K38" s="153"/>
      <c r="L38" s="153"/>
    </row>
    <row r="39" spans="1:12" ht="14.25" x14ac:dyDescent="0.2">
      <c r="A39" s="169"/>
      <c r="B39" s="169"/>
      <c r="C39" s="192"/>
      <c r="D39" s="169"/>
      <c r="F39" s="153"/>
      <c r="G39" s="153"/>
      <c r="H39" s="153"/>
      <c r="I39" s="153"/>
      <c r="J39" s="153"/>
      <c r="K39" s="153"/>
      <c r="L39" s="153"/>
    </row>
    <row r="40" spans="1:12" ht="15" x14ac:dyDescent="0.2">
      <c r="A40" s="169"/>
      <c r="B40" s="193"/>
      <c r="C40" s="194"/>
      <c r="D40" s="169"/>
      <c r="F40" s="153"/>
      <c r="G40" s="153"/>
      <c r="H40" s="153"/>
      <c r="I40" s="153"/>
      <c r="J40" s="153"/>
      <c r="K40" s="153"/>
      <c r="L40" s="153"/>
    </row>
    <row r="41" spans="1:12" ht="15" x14ac:dyDescent="0.2">
      <c r="A41" s="183"/>
      <c r="B41" s="193"/>
      <c r="C41" s="194"/>
      <c r="D41" s="183"/>
      <c r="E41" s="153"/>
      <c r="F41" s="153"/>
      <c r="G41" s="153"/>
      <c r="H41" s="153"/>
      <c r="I41" s="153"/>
      <c r="J41" s="153"/>
      <c r="K41" s="153"/>
      <c r="L41" s="153"/>
    </row>
    <row r="42" spans="1:12" ht="16.5" x14ac:dyDescent="0.2">
      <c r="A42" s="195"/>
      <c r="B42" s="153"/>
      <c r="C42" s="153"/>
      <c r="E42" s="153"/>
      <c r="F42" s="153"/>
      <c r="G42" s="153"/>
      <c r="H42" s="153"/>
      <c r="I42" s="153"/>
      <c r="J42" s="153"/>
      <c r="K42" s="153"/>
      <c r="L42" s="153"/>
    </row>
    <row r="43" spans="1:12" x14ac:dyDescent="0.2">
      <c r="A43" s="196"/>
      <c r="B43" s="197"/>
      <c r="C43" s="197"/>
      <c r="E43" s="153"/>
      <c r="F43" s="153"/>
      <c r="G43" s="153"/>
      <c r="H43" s="153"/>
      <c r="I43" s="153"/>
      <c r="J43" s="153"/>
      <c r="K43" s="153"/>
      <c r="L43" s="153"/>
    </row>
    <row r="44" spans="1:12" ht="14.25" x14ac:dyDescent="0.2">
      <c r="A44" s="169"/>
      <c r="B44" s="198"/>
      <c r="C44" s="197"/>
      <c r="E44" s="153"/>
      <c r="F44" s="153"/>
      <c r="G44" s="153"/>
      <c r="H44" s="153"/>
      <c r="I44" s="153"/>
      <c r="J44" s="153"/>
      <c r="K44" s="153"/>
      <c r="L44" s="153"/>
    </row>
    <row r="45" spans="1:12" ht="14.25" x14ac:dyDescent="0.2">
      <c r="A45" s="169"/>
      <c r="B45" s="198"/>
      <c r="C45" s="169"/>
      <c r="E45" s="153"/>
      <c r="F45" s="153"/>
      <c r="G45" s="153"/>
      <c r="H45" s="153"/>
      <c r="I45" s="153"/>
      <c r="J45" s="153"/>
      <c r="K45" s="153"/>
      <c r="L45" s="153"/>
    </row>
    <row r="46" spans="1:12" ht="14.25" x14ac:dyDescent="0.2">
      <c r="A46" s="169"/>
      <c r="B46" s="192"/>
      <c r="C46" s="197"/>
      <c r="E46" s="153"/>
      <c r="F46" s="153"/>
      <c r="G46" s="153"/>
      <c r="H46" s="153"/>
      <c r="I46" s="153"/>
      <c r="J46" s="153"/>
      <c r="K46" s="153"/>
      <c r="L46" s="153"/>
    </row>
    <row r="47" spans="1:12" ht="14.25" x14ac:dyDescent="0.2">
      <c r="A47" s="169"/>
      <c r="B47" s="198"/>
      <c r="C47" s="169"/>
      <c r="E47" s="153"/>
      <c r="F47" s="153"/>
      <c r="G47" s="153"/>
      <c r="H47" s="153"/>
      <c r="I47" s="153"/>
      <c r="J47" s="153"/>
      <c r="K47" s="153"/>
      <c r="L47" s="153"/>
    </row>
    <row r="48" spans="1:12" ht="14.25" x14ac:dyDescent="0.2">
      <c r="A48" s="169"/>
      <c r="B48" s="192"/>
      <c r="C48" s="197"/>
      <c r="E48" s="153"/>
      <c r="F48" s="153"/>
      <c r="G48" s="153"/>
      <c r="H48" s="153"/>
      <c r="I48" s="153"/>
      <c r="J48" s="153"/>
      <c r="K48" s="153"/>
      <c r="L48" s="153"/>
    </row>
    <row r="49" spans="1:12" ht="14.25" x14ac:dyDescent="0.2">
      <c r="A49" s="169"/>
      <c r="B49" s="198"/>
      <c r="C49" s="169"/>
      <c r="E49" s="153"/>
      <c r="F49" s="153"/>
      <c r="G49" s="153"/>
      <c r="H49" s="153"/>
      <c r="I49" s="153"/>
      <c r="J49" s="153"/>
      <c r="K49" s="153"/>
      <c r="L49" s="153"/>
    </row>
    <row r="50" spans="1:12" ht="14.25" x14ac:dyDescent="0.2">
      <c r="A50" s="169"/>
      <c r="B50" s="192"/>
      <c r="C50" s="197"/>
      <c r="E50" s="153"/>
      <c r="F50" s="153"/>
      <c r="G50" s="153"/>
      <c r="H50" s="153"/>
      <c r="I50" s="153"/>
      <c r="J50" s="153"/>
      <c r="K50" s="153"/>
      <c r="L50" s="153"/>
    </row>
    <row r="51" spans="1:12" ht="14.25" x14ac:dyDescent="0.2">
      <c r="A51" s="169"/>
      <c r="B51" s="198"/>
      <c r="C51" s="169"/>
      <c r="E51" s="153"/>
      <c r="F51" s="153"/>
      <c r="G51" s="153"/>
      <c r="H51" s="153"/>
      <c r="I51" s="153"/>
      <c r="J51" s="153"/>
      <c r="K51" s="153"/>
      <c r="L51" s="153"/>
    </row>
    <row r="52" spans="1:12" ht="14.25" x14ac:dyDescent="0.2">
      <c r="A52" s="169"/>
      <c r="B52" s="192"/>
      <c r="C52" s="197"/>
      <c r="E52" s="153"/>
      <c r="F52" s="153"/>
      <c r="G52" s="153"/>
      <c r="H52" s="153"/>
      <c r="I52" s="153"/>
      <c r="J52" s="153"/>
      <c r="K52" s="153"/>
      <c r="L52" s="153"/>
    </row>
    <row r="53" spans="1:12" ht="16.5" x14ac:dyDescent="0.2">
      <c r="A53" s="195"/>
      <c r="B53" s="153"/>
      <c r="C53" s="153"/>
      <c r="E53" s="153"/>
      <c r="F53" s="153"/>
      <c r="G53" s="153"/>
      <c r="H53" s="153"/>
      <c r="I53" s="153"/>
      <c r="J53" s="153"/>
      <c r="K53" s="153"/>
      <c r="L53" s="153"/>
    </row>
    <row r="54" spans="1:12" x14ac:dyDescent="0.2">
      <c r="A54" s="153"/>
      <c r="B54" s="153"/>
      <c r="C54" s="153"/>
      <c r="E54" s="153"/>
      <c r="F54" s="153"/>
      <c r="G54" s="153"/>
      <c r="H54" s="153"/>
      <c r="I54" s="153"/>
      <c r="J54" s="153"/>
      <c r="K54" s="153"/>
      <c r="L54" s="153"/>
    </row>
    <row r="55" spans="1:12" x14ac:dyDescent="0.2">
      <c r="A55" s="153"/>
      <c r="B55" s="153"/>
      <c r="C55" s="153"/>
      <c r="E55" s="153"/>
      <c r="F55" s="153"/>
      <c r="G55" s="153"/>
      <c r="H55" s="153"/>
      <c r="I55" s="153"/>
      <c r="J55" s="153"/>
      <c r="K55" s="153"/>
      <c r="L55" s="153"/>
    </row>
    <row r="56" spans="1:12" x14ac:dyDescent="0.2">
      <c r="A56" s="199"/>
      <c r="B56" s="153"/>
      <c r="C56" s="153"/>
      <c r="E56" s="153"/>
      <c r="F56" s="153"/>
      <c r="G56" s="153"/>
      <c r="H56" s="153"/>
      <c r="I56" s="153"/>
      <c r="J56" s="153"/>
      <c r="K56" s="153"/>
      <c r="L56" s="153"/>
    </row>
    <row r="57" spans="1:12" x14ac:dyDescent="0.2">
      <c r="A57" s="153"/>
      <c r="B57" s="153"/>
      <c r="C57" s="153"/>
      <c r="E57" s="153"/>
    </row>
    <row r="58" spans="1:12" x14ac:dyDescent="0.2">
      <c r="A58" s="153"/>
      <c r="B58" s="153"/>
      <c r="C58" s="153"/>
      <c r="E58" s="153"/>
    </row>
    <row r="59" spans="1:12" x14ac:dyDescent="0.2">
      <c r="A59" s="153"/>
      <c r="B59" s="153"/>
      <c r="C59" s="153"/>
      <c r="E59" s="153"/>
    </row>
    <row r="60" spans="1:12" x14ac:dyDescent="0.2">
      <c r="A60" s="153"/>
      <c r="B60" s="153"/>
      <c r="C60" s="153"/>
      <c r="E60" s="153"/>
    </row>
    <row r="61" spans="1:12" x14ac:dyDescent="0.2">
      <c r="A61" s="153"/>
      <c r="B61" s="153"/>
      <c r="C61" s="153"/>
      <c r="E61" s="153"/>
    </row>
    <row r="62" spans="1:12" x14ac:dyDescent="0.2">
      <c r="A62" s="153"/>
      <c r="B62" s="153"/>
      <c r="C62" s="153"/>
      <c r="E62" s="153"/>
    </row>
    <row r="63" spans="1:12" x14ac:dyDescent="0.2">
      <c r="A63" s="153"/>
      <c r="B63" s="153"/>
      <c r="C63" s="153"/>
      <c r="E63" s="153"/>
    </row>
    <row r="64" spans="1:12" x14ac:dyDescent="0.2">
      <c r="A64" s="153"/>
      <c r="B64" s="153"/>
      <c r="C64" s="153"/>
      <c r="E64" s="153"/>
    </row>
    <row r="65" spans="1:5" x14ac:dyDescent="0.2">
      <c r="A65" s="153"/>
      <c r="B65" s="153"/>
      <c r="C65" s="153"/>
      <c r="E65" s="153"/>
    </row>
  </sheetData>
  <mergeCells count="1">
    <mergeCell ref="A4:C4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opLeftCell="A22" workbookViewId="0">
      <selection activeCell="B25" sqref="B25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hidden="1" customWidth="1"/>
    <col min="5" max="5" width="13.7109375" style="1" hidden="1" customWidth="1"/>
    <col min="6" max="6" width="14.42578125" style="1" hidden="1" customWidth="1"/>
    <col min="7" max="7" width="12.7109375" style="1" hidden="1" customWidth="1"/>
    <col min="8" max="8" width="4.42578125" style="1" hidden="1" customWidth="1"/>
    <col min="9" max="9" width="6.85546875" style="1" hidden="1" customWidth="1"/>
    <col min="10" max="10" width="3.28515625" style="1" hidden="1" customWidth="1"/>
    <col min="11" max="11" width="0" style="1" hidden="1" customWidth="1"/>
    <col min="12" max="16384" width="9.140625" style="1"/>
  </cols>
  <sheetData>
    <row r="1" spans="1:3" x14ac:dyDescent="0.2">
      <c r="A1" s="106" t="s">
        <v>253</v>
      </c>
    </row>
    <row r="3" spans="1:3" x14ac:dyDescent="0.2">
      <c r="A3" s="1" t="s">
        <v>217</v>
      </c>
    </row>
    <row r="4" spans="1:3" x14ac:dyDescent="0.2">
      <c r="A4" s="273" t="s">
        <v>213</v>
      </c>
    </row>
    <row r="5" spans="1:3" ht="25.5" customHeight="1" x14ac:dyDescent="0.2">
      <c r="A5" s="353" t="s">
        <v>265</v>
      </c>
      <c r="B5" s="352"/>
      <c r="C5" s="352"/>
    </row>
    <row r="6" spans="1:3" x14ac:dyDescent="0.2">
      <c r="A6" s="1" t="s">
        <v>214</v>
      </c>
    </row>
    <row r="7" spans="1:3" ht="26.25" customHeight="1" x14ac:dyDescent="0.2">
      <c r="A7" s="352" t="s">
        <v>215</v>
      </c>
      <c r="B7" s="352"/>
      <c r="C7" s="352"/>
    </row>
    <row r="8" spans="1:3" x14ac:dyDescent="0.2">
      <c r="A8" s="1" t="s">
        <v>216</v>
      </c>
    </row>
    <row r="9" spans="1:3" x14ac:dyDescent="0.2">
      <c r="A9" s="1" t="s">
        <v>254</v>
      </c>
    </row>
    <row r="10" spans="1:3" ht="13.5" thickBot="1" x14ac:dyDescent="0.25"/>
    <row r="11" spans="1:3" ht="18" x14ac:dyDescent="0.25">
      <c r="B11" s="350" t="s">
        <v>239</v>
      </c>
      <c r="C11" s="351"/>
    </row>
    <row r="12" spans="1:3" ht="15" x14ac:dyDescent="0.25">
      <c r="A12" s="153"/>
      <c r="B12" s="152" t="s">
        <v>212</v>
      </c>
      <c r="C12" s="200"/>
    </row>
    <row r="13" spans="1:3" ht="15" x14ac:dyDescent="0.25">
      <c r="A13" s="153"/>
      <c r="B13" s="154" t="s">
        <v>127</v>
      </c>
      <c r="C13" s="155">
        <v>2486</v>
      </c>
    </row>
    <row r="14" spans="1:3" ht="15" x14ac:dyDescent="0.25">
      <c r="A14" s="153"/>
      <c r="B14" s="156" t="s">
        <v>128</v>
      </c>
      <c r="C14" s="155">
        <v>3303</v>
      </c>
    </row>
    <row r="15" spans="1:3" ht="14.25" x14ac:dyDescent="0.2">
      <c r="A15" s="153"/>
      <c r="B15" s="201" t="s">
        <v>129</v>
      </c>
      <c r="C15" s="202">
        <v>81</v>
      </c>
    </row>
    <row r="16" spans="1:3" ht="14.25" x14ac:dyDescent="0.2">
      <c r="A16" s="153"/>
      <c r="B16" s="201" t="s">
        <v>130</v>
      </c>
      <c r="C16" s="202">
        <v>2336</v>
      </c>
    </row>
    <row r="17" spans="1:7" ht="14.25" x14ac:dyDescent="0.2">
      <c r="A17" s="153"/>
      <c r="B17" s="201" t="s">
        <v>131</v>
      </c>
      <c r="C17" s="202">
        <v>342</v>
      </c>
    </row>
    <row r="18" spans="1:7" ht="14.25" x14ac:dyDescent="0.2">
      <c r="A18" s="153"/>
      <c r="B18" s="201" t="s">
        <v>132</v>
      </c>
      <c r="C18" s="202">
        <v>18</v>
      </c>
    </row>
    <row r="19" spans="1:7" ht="14.25" x14ac:dyDescent="0.2">
      <c r="A19" s="153"/>
      <c r="B19" s="201" t="s">
        <v>133</v>
      </c>
      <c r="C19" s="202">
        <v>500</v>
      </c>
    </row>
    <row r="20" spans="1:7" ht="14.25" x14ac:dyDescent="0.2">
      <c r="A20" s="153"/>
      <c r="B20" s="201" t="s">
        <v>134</v>
      </c>
      <c r="C20" s="202">
        <v>1</v>
      </c>
    </row>
    <row r="21" spans="1:7" ht="14.25" x14ac:dyDescent="0.2">
      <c r="A21" s="153"/>
      <c r="B21" s="201" t="s">
        <v>135</v>
      </c>
      <c r="C21" s="202">
        <v>25</v>
      </c>
    </row>
    <row r="22" spans="1:7" ht="14.25" x14ac:dyDescent="0.2">
      <c r="A22" s="153"/>
      <c r="B22" s="203" t="s">
        <v>136</v>
      </c>
      <c r="C22" s="204">
        <v>0</v>
      </c>
    </row>
    <row r="23" spans="1:7" ht="15" x14ac:dyDescent="0.25">
      <c r="A23" s="153" t="s">
        <v>137</v>
      </c>
      <c r="B23" s="152" t="s">
        <v>138</v>
      </c>
      <c r="C23" s="200"/>
    </row>
    <row r="24" spans="1:7" ht="14.25" x14ac:dyDescent="0.2">
      <c r="A24" s="153"/>
      <c r="B24" s="205" t="s">
        <v>271</v>
      </c>
      <c r="C24" s="206">
        <v>6400</v>
      </c>
    </row>
    <row r="25" spans="1:7" ht="14.25" x14ac:dyDescent="0.2">
      <c r="A25" s="153"/>
      <c r="B25" s="201" t="s">
        <v>272</v>
      </c>
      <c r="C25" s="202">
        <v>5583</v>
      </c>
    </row>
    <row r="26" spans="1:7" ht="14.25" x14ac:dyDescent="0.2">
      <c r="B26" s="201" t="s">
        <v>273</v>
      </c>
      <c r="C26" s="202">
        <v>-817</v>
      </c>
    </row>
    <row r="27" spans="1:7" ht="14.25" x14ac:dyDescent="0.2">
      <c r="B27" s="207"/>
      <c r="C27" s="208"/>
    </row>
    <row r="28" spans="1:7" ht="15" x14ac:dyDescent="0.25">
      <c r="B28" s="157" t="s">
        <v>139</v>
      </c>
      <c r="C28" s="274">
        <f>MEDIAN(C13,C14)/MEDIAN(C24,C25)</f>
        <v>0.48310105983476592</v>
      </c>
      <c r="G28" s="1">
        <f>12/C28</f>
        <v>24.839523233719124</v>
      </c>
    </row>
    <row r="29" spans="1:7" ht="15" x14ac:dyDescent="0.25">
      <c r="B29" s="154" t="s">
        <v>140</v>
      </c>
      <c r="C29" s="274">
        <f>C16/MEDIAN(C24,C25)</f>
        <v>0.38988567136777103</v>
      </c>
    </row>
    <row r="30" spans="1:7" ht="15" x14ac:dyDescent="0.25">
      <c r="B30" s="159" t="s">
        <v>141</v>
      </c>
      <c r="C30" s="158">
        <v>360</v>
      </c>
    </row>
    <row r="31" spans="1:7" ht="15" x14ac:dyDescent="0.25">
      <c r="B31" s="154" t="s">
        <v>255</v>
      </c>
      <c r="C31" s="158">
        <v>10</v>
      </c>
    </row>
    <row r="32" spans="1:7" ht="15" x14ac:dyDescent="0.25">
      <c r="B32" s="154" t="s">
        <v>256</v>
      </c>
      <c r="C32" s="158">
        <v>30</v>
      </c>
      <c r="G32" s="1">
        <f>TRUNC(G37)</f>
        <v>0</v>
      </c>
    </row>
    <row r="33" spans="2:11" ht="15" x14ac:dyDescent="0.25">
      <c r="B33" s="154" t="s">
        <v>257</v>
      </c>
      <c r="C33" s="158">
        <v>30</v>
      </c>
    </row>
    <row r="34" spans="2:11" s="106" customFormat="1" ht="15" x14ac:dyDescent="0.25">
      <c r="B34" s="154" t="s">
        <v>142</v>
      </c>
      <c r="C34" s="209">
        <f>MEDIAN(C24,C25)</f>
        <v>5991.5</v>
      </c>
    </row>
    <row r="35" spans="2:11" s="106" customFormat="1" ht="15" x14ac:dyDescent="0.25">
      <c r="B35" s="154" t="s">
        <v>41</v>
      </c>
      <c r="C35" s="210">
        <v>0.08</v>
      </c>
      <c r="K35" s="106">
        <f>IF(C39&gt;12,C39-12,C39)</f>
        <v>12.839523233719124</v>
      </c>
    </row>
    <row r="36" spans="2:11" s="106" customFormat="1" ht="15" x14ac:dyDescent="0.25">
      <c r="B36" s="154" t="s">
        <v>143</v>
      </c>
      <c r="C36" s="210">
        <v>0.5</v>
      </c>
      <c r="K36" s="106" t="e">
        <f>IF(#REF!&gt;12,#REF!-12,#REF!)</f>
        <v>#REF!</v>
      </c>
    </row>
    <row r="37" spans="2:11" s="106" customFormat="1" ht="15" x14ac:dyDescent="0.25">
      <c r="B37" s="154" t="s">
        <v>144</v>
      </c>
      <c r="C37" s="275">
        <f>((1/C28)-TRUNC(E37))</f>
        <v>6.9960269476593506E-2</v>
      </c>
      <c r="D37" s="106">
        <f>TRUNC(E37)</f>
        <v>2</v>
      </c>
      <c r="E37" s="106">
        <f>1/C28</f>
        <v>2.0699602694765935</v>
      </c>
      <c r="F37" s="106">
        <f>((1/C28)-TRUNC(E37))</f>
        <v>6.9960269476593506E-2</v>
      </c>
      <c r="G37" s="106">
        <f>12*F37</f>
        <v>0.83952323371912208</v>
      </c>
      <c r="K37" s="106" t="e">
        <f>IF(#REF!&gt;12,#REF!-12,#REF!)</f>
        <v>#REF!</v>
      </c>
    </row>
    <row r="38" spans="2:11" s="106" customFormat="1" ht="15" x14ac:dyDescent="0.25">
      <c r="B38" s="152" t="s">
        <v>145</v>
      </c>
      <c r="C38" s="160">
        <f>30+D38</f>
        <v>36</v>
      </c>
      <c r="D38" s="106">
        <f>3*D37</f>
        <v>6</v>
      </c>
      <c r="G38" s="106">
        <f>G37/12*40/360</f>
        <v>7.7733632751770566E-3</v>
      </c>
      <c r="K38" s="106" t="e">
        <f>IF(#REF!&gt;12,#REF!-12,#REF!)</f>
        <v>#REF!</v>
      </c>
    </row>
    <row r="39" spans="2:11" s="106" customFormat="1" ht="15.75" thickBot="1" x14ac:dyDescent="0.3">
      <c r="B39" s="161" t="s">
        <v>260</v>
      </c>
      <c r="C39" s="276">
        <f>12/C28</f>
        <v>24.839523233719124</v>
      </c>
      <c r="K39" s="106" t="e">
        <f>IF(#REF!&gt;12,#REF!-12,#REF!)</f>
        <v>#REF!</v>
      </c>
    </row>
    <row r="40" spans="2:11" x14ac:dyDescent="0.2">
      <c r="K40" s="1" t="e">
        <f>IF(K39&gt;12,K39-12,K39)</f>
        <v>#REF!</v>
      </c>
    </row>
    <row r="41" spans="2:11" x14ac:dyDescent="0.2">
      <c r="K41" s="1" t="e">
        <f>IF(K40&gt;12,K40-12,K40)</f>
        <v>#REF!</v>
      </c>
    </row>
  </sheetData>
  <mergeCells count="3">
    <mergeCell ref="B11:C11"/>
    <mergeCell ref="A7:C7"/>
    <mergeCell ref="A5:C5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C18" sqref="C18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8" bestFit="1" customWidth="1"/>
    <col min="6" max="6" width="9.7109375" bestFit="1" customWidth="1"/>
  </cols>
  <sheetData>
    <row r="1" spans="1:8" s="142" customFormat="1" ht="14.25" x14ac:dyDescent="0.2">
      <c r="A1" s="11" t="s">
        <v>209</v>
      </c>
      <c r="B1" s="140"/>
      <c r="C1" s="140"/>
      <c r="E1" s="143"/>
    </row>
    <row r="2" spans="1:8" s="142" customFormat="1" ht="14.25" x14ac:dyDescent="0.2">
      <c r="A2" s="136" t="s">
        <v>261</v>
      </c>
      <c r="B2" s="140"/>
      <c r="C2" s="140"/>
      <c r="E2" s="143"/>
    </row>
    <row r="3" spans="1:8" s="142" customFormat="1" ht="14.25" x14ac:dyDescent="0.2">
      <c r="A3" s="9" t="s">
        <v>210</v>
      </c>
      <c r="B3" s="140"/>
      <c r="C3" s="140"/>
      <c r="E3" s="143"/>
    </row>
    <row r="4" spans="1:8" s="142" customFormat="1" ht="14.25" x14ac:dyDescent="0.2">
      <c r="A4" s="136"/>
      <c r="B4" s="140"/>
      <c r="C4" s="140"/>
      <c r="E4" s="143"/>
    </row>
    <row r="5" spans="1:8" s="142" customFormat="1" ht="15" thickBot="1" x14ac:dyDescent="0.25">
      <c r="B5" s="140"/>
      <c r="C5" s="140"/>
      <c r="E5" s="143"/>
    </row>
    <row r="6" spans="1:8" ht="15.75" x14ac:dyDescent="0.2">
      <c r="A6" s="359" t="s">
        <v>240</v>
      </c>
      <c r="B6" s="360"/>
      <c r="C6" s="360"/>
      <c r="D6" s="360"/>
      <c r="E6" s="360"/>
      <c r="F6" s="361"/>
    </row>
    <row r="7" spans="1:8" ht="16.5" thickBot="1" x14ac:dyDescent="0.25">
      <c r="A7" s="260"/>
      <c r="B7" s="261"/>
      <c r="C7" s="261"/>
      <c r="D7" s="261"/>
      <c r="E7" s="261"/>
      <c r="F7" s="262"/>
    </row>
    <row r="8" spans="1:8" ht="15" x14ac:dyDescent="0.25">
      <c r="A8" s="211"/>
      <c r="B8" s="141"/>
      <c r="C8" s="141"/>
      <c r="D8" s="356" t="s">
        <v>258</v>
      </c>
      <c r="E8" s="357"/>
      <c r="F8" s="358"/>
      <c r="G8" s="142"/>
      <c r="H8" s="142"/>
    </row>
    <row r="9" spans="1:8" ht="15" thickBot="1" x14ac:dyDescent="0.25">
      <c r="A9" s="207"/>
      <c r="B9" s="212"/>
      <c r="C9" s="212"/>
      <c r="D9" s="213" t="s">
        <v>196</v>
      </c>
      <c r="E9" s="214" t="s">
        <v>197</v>
      </c>
      <c r="F9" s="215" t="s">
        <v>198</v>
      </c>
      <c r="G9" s="142"/>
      <c r="H9" s="142"/>
    </row>
    <row r="10" spans="1:8" ht="14.25" x14ac:dyDescent="0.2">
      <c r="A10" s="216" t="s">
        <v>75</v>
      </c>
      <c r="B10" s="217" t="s">
        <v>76</v>
      </c>
      <c r="C10" s="218">
        <v>5.0799999999999998E-2</v>
      </c>
      <c r="D10" s="239">
        <v>2.9700000000000001E-2</v>
      </c>
      <c r="E10" s="240">
        <v>5.0799999999999998E-2</v>
      </c>
      <c r="F10" s="241">
        <v>6.2700000000000006E-2</v>
      </c>
      <c r="G10" s="142"/>
      <c r="H10" s="142"/>
    </row>
    <row r="11" spans="1:8" ht="14.25" x14ac:dyDescent="0.2">
      <c r="A11" s="220" t="s">
        <v>77</v>
      </c>
      <c r="B11" s="221" t="s">
        <v>78</v>
      </c>
      <c r="C11" s="222">
        <v>1.3299999999999999E-2</v>
      </c>
      <c r="D11" s="239">
        <f>0.3%+0.56%</f>
        <v>8.6E-3</v>
      </c>
      <c r="E11" s="240">
        <f>0.48%+0.85%</f>
        <v>1.3299999999999999E-2</v>
      </c>
      <c r="F11" s="241">
        <f>0.82%+0.89%</f>
        <v>1.7099999999999997E-2</v>
      </c>
      <c r="G11" s="142"/>
      <c r="H11" s="142"/>
    </row>
    <row r="12" spans="1:8" ht="14.25" x14ac:dyDescent="0.2">
      <c r="A12" s="220" t="s">
        <v>79</v>
      </c>
      <c r="B12" s="221" t="s">
        <v>80</v>
      </c>
      <c r="C12" s="222">
        <v>0.1085</v>
      </c>
      <c r="D12" s="239">
        <v>7.7799999999999994E-2</v>
      </c>
      <c r="E12" s="240">
        <v>0.1085</v>
      </c>
      <c r="F12" s="241">
        <v>0.13550000000000001</v>
      </c>
      <c r="G12" s="142"/>
      <c r="H12" s="142"/>
    </row>
    <row r="13" spans="1:8" ht="14.25" x14ac:dyDescent="0.2">
      <c r="A13" s="220" t="s">
        <v>81</v>
      </c>
      <c r="B13" s="221" t="s">
        <v>82</v>
      </c>
      <c r="C13" s="223">
        <f>(1+E13)^(E14/252)-1</f>
        <v>3.4073344861571542E-3</v>
      </c>
      <c r="D13" s="239" t="s">
        <v>297</v>
      </c>
      <c r="E13" s="224">
        <v>8.9499999999999996E-2</v>
      </c>
      <c r="F13" s="219"/>
      <c r="G13" s="142"/>
      <c r="H13" s="142"/>
    </row>
    <row r="14" spans="1:8" ht="14.25" x14ac:dyDescent="0.2">
      <c r="A14" s="220" t="s">
        <v>83</v>
      </c>
      <c r="B14" s="354" t="s">
        <v>84</v>
      </c>
      <c r="C14" s="222">
        <v>0.03</v>
      </c>
      <c r="D14" s="300" t="s">
        <v>199</v>
      </c>
      <c r="E14" s="225">
        <v>10</v>
      </c>
      <c r="F14" s="226"/>
      <c r="G14" s="142"/>
      <c r="H14" s="142"/>
    </row>
    <row r="15" spans="1:8" ht="15" thickBot="1" x14ac:dyDescent="0.25">
      <c r="A15" s="227" t="s">
        <v>85</v>
      </c>
      <c r="B15" s="355"/>
      <c r="C15" s="228">
        <v>3.6499999999999998E-2</v>
      </c>
      <c r="D15" s="201"/>
      <c r="E15" s="229"/>
      <c r="F15" s="226"/>
      <c r="G15" s="142"/>
      <c r="H15" s="142"/>
    </row>
    <row r="16" spans="1:8" ht="14.25" x14ac:dyDescent="0.2">
      <c r="A16" s="230" t="s">
        <v>86</v>
      </c>
      <c r="B16" s="231"/>
      <c r="C16" s="232"/>
      <c r="D16" s="201"/>
      <c r="E16" s="229"/>
      <c r="F16" s="226"/>
      <c r="G16" s="142"/>
      <c r="H16" s="142"/>
    </row>
    <row r="17" spans="1:8" ht="15" thickBot="1" x14ac:dyDescent="0.25">
      <c r="A17" s="233" t="s">
        <v>87</v>
      </c>
      <c r="B17" s="234"/>
      <c r="C17" s="235"/>
      <c r="D17" s="201"/>
      <c r="E17" s="229"/>
      <c r="F17" s="226"/>
      <c r="G17" s="142"/>
      <c r="H17" s="142"/>
    </row>
    <row r="18" spans="1:8" ht="15.75" thickBot="1" x14ac:dyDescent="0.25">
      <c r="A18" s="236" t="s">
        <v>88</v>
      </c>
      <c r="B18" s="237"/>
      <c r="C18" s="238">
        <f>ROUND((((1+C10+C11)*(1+C12)*(1+C13))/(1-(C14+C15))-1),4)</f>
        <v>0.26790000000000003</v>
      </c>
      <c r="D18" s="242">
        <v>0.21429999999999999</v>
      </c>
      <c r="E18" s="243">
        <v>0.2717</v>
      </c>
      <c r="F18" s="244">
        <v>0.3362</v>
      </c>
      <c r="G18" s="142"/>
      <c r="H18" s="142"/>
    </row>
    <row r="19" spans="1:8" ht="14.25" x14ac:dyDescent="0.2">
      <c r="A19" s="142"/>
      <c r="B19" s="142"/>
      <c r="C19" s="142"/>
      <c r="D19" s="142"/>
      <c r="E19" s="143"/>
      <c r="F19" s="142"/>
      <c r="G19" s="142"/>
      <c r="H19" s="142"/>
    </row>
    <row r="20" spans="1:8" ht="14.25" x14ac:dyDescent="0.2">
      <c r="A20" s="142"/>
      <c r="B20" s="142"/>
      <c r="C20" s="142"/>
      <c r="D20" s="142"/>
      <c r="E20" s="143"/>
      <c r="F20" s="142"/>
      <c r="G20" s="142"/>
      <c r="H20" s="142"/>
    </row>
    <row r="21" spans="1:8" ht="14.25" x14ac:dyDescent="0.2">
      <c r="A21" s="142"/>
      <c r="B21" s="142"/>
      <c r="C21" s="142"/>
      <c r="D21" s="142"/>
      <c r="E21" s="143"/>
      <c r="F21" s="142"/>
      <c r="G21" s="142"/>
      <c r="H21" s="142"/>
    </row>
    <row r="22" spans="1:8" ht="14.25" x14ac:dyDescent="0.2">
      <c r="A22" s="142"/>
      <c r="B22" s="142"/>
      <c r="C22" s="142"/>
      <c r="D22" s="142"/>
      <c r="E22" s="143"/>
      <c r="F22" s="142"/>
      <c r="G22" s="142"/>
      <c r="H22" s="142"/>
    </row>
  </sheetData>
  <mergeCells count="3">
    <mergeCell ref="B14:B15"/>
    <mergeCell ref="D8:F8"/>
    <mergeCell ref="A6:F6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B7" sqref="B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2" t="s">
        <v>242</v>
      </c>
      <c r="B1" s="363"/>
    </row>
    <row r="2" spans="1:2" s="106" customFormat="1" ht="19.5" customHeight="1" x14ac:dyDescent="0.2">
      <c r="A2" s="263" t="s">
        <v>218</v>
      </c>
      <c r="B2" s="264" t="s">
        <v>299</v>
      </c>
    </row>
    <row r="3" spans="1:2" ht="19.5" customHeight="1" x14ac:dyDescent="0.2">
      <c r="A3" s="163">
        <v>1</v>
      </c>
      <c r="B3" s="162">
        <v>33.629999999999995</v>
      </c>
    </row>
    <row r="4" spans="1:2" ht="19.5" customHeight="1" x14ac:dyDescent="0.2">
      <c r="A4" s="163">
        <v>2</v>
      </c>
      <c r="B4" s="162">
        <v>43.13</v>
      </c>
    </row>
    <row r="5" spans="1:2" ht="19.5" customHeight="1" x14ac:dyDescent="0.2">
      <c r="A5" s="163">
        <v>3</v>
      </c>
      <c r="B5" s="162">
        <v>48.68</v>
      </c>
    </row>
    <row r="6" spans="1:2" ht="19.5" customHeight="1" x14ac:dyDescent="0.2">
      <c r="A6" s="163">
        <v>4</v>
      </c>
      <c r="B6" s="162">
        <v>52.62</v>
      </c>
    </row>
    <row r="7" spans="1:2" ht="19.5" customHeight="1" x14ac:dyDescent="0.2">
      <c r="A7" s="163">
        <v>5</v>
      </c>
      <c r="B7" s="162">
        <v>55.679999999999993</v>
      </c>
    </row>
    <row r="8" spans="1:2" ht="19.5" customHeight="1" x14ac:dyDescent="0.2">
      <c r="A8" s="163">
        <v>6</v>
      </c>
      <c r="B8" s="162">
        <v>58.18</v>
      </c>
    </row>
    <row r="9" spans="1:2" ht="19.5" customHeight="1" x14ac:dyDescent="0.2">
      <c r="A9" s="163">
        <v>7</v>
      </c>
      <c r="B9" s="162">
        <v>60.29</v>
      </c>
    </row>
    <row r="10" spans="1:2" ht="19.5" customHeight="1" x14ac:dyDescent="0.2">
      <c r="A10" s="163">
        <v>8</v>
      </c>
      <c r="B10" s="162">
        <v>62.12</v>
      </c>
    </row>
    <row r="11" spans="1:2" ht="19.5" customHeight="1" x14ac:dyDescent="0.2">
      <c r="A11" s="163">
        <v>9</v>
      </c>
      <c r="B11" s="162">
        <v>63.73</v>
      </c>
    </row>
    <row r="12" spans="1:2" ht="19.5" customHeight="1" x14ac:dyDescent="0.2">
      <c r="A12" s="163">
        <v>10</v>
      </c>
      <c r="B12" s="162">
        <v>65.180000000000007</v>
      </c>
    </row>
    <row r="13" spans="1:2" ht="19.5" customHeight="1" x14ac:dyDescent="0.2">
      <c r="A13" s="163">
        <v>11</v>
      </c>
      <c r="B13" s="162">
        <v>66.47999999999999</v>
      </c>
    </row>
    <row r="14" spans="1:2" ht="19.5" customHeight="1" x14ac:dyDescent="0.2">
      <c r="A14" s="163">
        <v>12</v>
      </c>
      <c r="B14" s="162">
        <v>67.67</v>
      </c>
    </row>
    <row r="15" spans="1:2" ht="19.5" customHeight="1" x14ac:dyDescent="0.2">
      <c r="A15" s="163">
        <v>13</v>
      </c>
      <c r="B15" s="162">
        <v>68.77</v>
      </c>
    </row>
    <row r="16" spans="1:2" ht="19.5" customHeight="1" x14ac:dyDescent="0.2">
      <c r="A16" s="163">
        <v>14</v>
      </c>
      <c r="B16" s="162">
        <v>69.789999999999992</v>
      </c>
    </row>
    <row r="17" spans="1:2" ht="19.5" customHeight="1" thickBot="1" x14ac:dyDescent="0.25">
      <c r="A17" s="164">
        <v>15</v>
      </c>
      <c r="B17" s="165">
        <v>70.73</v>
      </c>
    </row>
  </sheetData>
  <mergeCells count="1">
    <mergeCell ref="A1:B1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24" sqref="A24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8" t="s">
        <v>246</v>
      </c>
    </row>
    <row r="2" spans="1:1" x14ac:dyDescent="0.2">
      <c r="A2" s="245"/>
    </row>
    <row r="3" spans="1:1" x14ac:dyDescent="0.2">
      <c r="A3" s="245" t="s">
        <v>262</v>
      </c>
    </row>
    <row r="4" spans="1:1" x14ac:dyDescent="0.2">
      <c r="A4" s="245"/>
    </row>
    <row r="5" spans="1:1" x14ac:dyDescent="0.2">
      <c r="A5" s="245"/>
    </row>
    <row r="6" spans="1:1" x14ac:dyDescent="0.2">
      <c r="A6" s="245"/>
    </row>
    <row r="7" spans="1:1" x14ac:dyDescent="0.2">
      <c r="A7" s="245"/>
    </row>
    <row r="8" spans="1:1" x14ac:dyDescent="0.2">
      <c r="A8" s="245"/>
    </row>
    <row r="9" spans="1:1" x14ac:dyDescent="0.2">
      <c r="A9" s="245"/>
    </row>
    <row r="10" spans="1:1" x14ac:dyDescent="0.2">
      <c r="A10" s="245"/>
    </row>
    <row r="11" spans="1:1" x14ac:dyDescent="0.2">
      <c r="A11" s="245"/>
    </row>
    <row r="12" spans="1:1" ht="19.5" x14ac:dyDescent="0.35">
      <c r="A12" s="246" t="s">
        <v>243</v>
      </c>
    </row>
    <row r="13" spans="1:1" ht="15" x14ac:dyDescent="0.2">
      <c r="A13" s="246" t="s">
        <v>110</v>
      </c>
    </row>
    <row r="14" spans="1:1" ht="15" x14ac:dyDescent="0.2">
      <c r="A14" s="246" t="s">
        <v>115</v>
      </c>
    </row>
    <row r="15" spans="1:1" ht="19.5" x14ac:dyDescent="0.35">
      <c r="A15" s="246" t="s">
        <v>244</v>
      </c>
    </row>
    <row r="16" spans="1:1" ht="19.5" x14ac:dyDescent="0.35">
      <c r="A16" s="246" t="s">
        <v>245</v>
      </c>
    </row>
    <row r="17" spans="1:1" ht="15.75" thickBot="1" x14ac:dyDescent="0.25">
      <c r="A17" s="247" t="s">
        <v>111</v>
      </c>
    </row>
  </sheetData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topLeftCell="A7" zoomScale="115" zoomScaleNormal="115" workbookViewId="0">
      <selection activeCell="C18" sqref="C18"/>
    </sheetView>
  </sheetViews>
  <sheetFormatPr defaultColWidth="9.140625" defaultRowHeight="12.75" x14ac:dyDescent="0.2"/>
  <cols>
    <col min="1" max="1" width="58.28515625" style="273" customWidth="1"/>
    <col min="2" max="2" width="11.140625" style="273" bestFit="1" customWidth="1"/>
    <col min="3" max="3" width="11.28515625" style="273" bestFit="1" customWidth="1"/>
    <col min="4" max="16384" width="9.140625" style="273"/>
  </cols>
  <sheetData>
    <row r="1" spans="1:3" x14ac:dyDescent="0.2">
      <c r="A1" s="11" t="s">
        <v>209</v>
      </c>
    </row>
    <row r="2" spans="1:3" x14ac:dyDescent="0.2">
      <c r="A2" s="281" t="s">
        <v>274</v>
      </c>
    </row>
    <row r="3" spans="1:3" x14ac:dyDescent="0.2">
      <c r="A3" s="281" t="s">
        <v>300</v>
      </c>
    </row>
    <row r="4" spans="1:3" x14ac:dyDescent="0.2">
      <c r="A4" s="7" t="s">
        <v>298</v>
      </c>
    </row>
    <row r="5" spans="1:3" ht="13.5" thickBot="1" x14ac:dyDescent="0.25"/>
    <row r="6" spans="1:3" ht="18" x14ac:dyDescent="0.25">
      <c r="A6" s="364" t="s">
        <v>294</v>
      </c>
      <c r="B6" s="365"/>
      <c r="C6" s="366"/>
    </row>
    <row r="7" spans="1:3" s="282" customFormat="1" ht="18" x14ac:dyDescent="0.25">
      <c r="A7" s="297"/>
      <c r="B7" s="296"/>
      <c r="C7" s="298"/>
    </row>
    <row r="8" spans="1:3" s="106" customFormat="1" ht="15" x14ac:dyDescent="0.25">
      <c r="A8" s="283" t="s">
        <v>295</v>
      </c>
      <c r="B8" s="284" t="s">
        <v>275</v>
      </c>
      <c r="C8" s="285" t="s">
        <v>148</v>
      </c>
    </row>
    <row r="9" spans="1:3" ht="14.25" x14ac:dyDescent="0.2">
      <c r="A9" s="286" t="s">
        <v>283</v>
      </c>
      <c r="B9" s="287" t="s">
        <v>276</v>
      </c>
      <c r="C9" s="202">
        <v>3562</v>
      </c>
    </row>
    <row r="10" spans="1:3" ht="14.25" x14ac:dyDescent="0.2">
      <c r="A10" s="201" t="s">
        <v>284</v>
      </c>
      <c r="B10" s="288" t="s">
        <v>281</v>
      </c>
      <c r="C10" s="289">
        <f>98000/C9/30</f>
        <v>0.91708777840164701</v>
      </c>
    </row>
    <row r="11" spans="1:3" ht="14.25" x14ac:dyDescent="0.2">
      <c r="A11" s="201" t="s">
        <v>285</v>
      </c>
      <c r="B11" s="288" t="s">
        <v>282</v>
      </c>
      <c r="C11" s="290">
        <f>C9*C10/1000</f>
        <v>3.2666666666666666</v>
      </c>
    </row>
    <row r="12" spans="1:3" ht="14.25" x14ac:dyDescent="0.2">
      <c r="A12" s="201" t="s">
        <v>291</v>
      </c>
      <c r="B12" s="288" t="s">
        <v>277</v>
      </c>
      <c r="C12" s="291">
        <f>(C11*30)</f>
        <v>98</v>
      </c>
    </row>
    <row r="13" spans="1:3" ht="14.25" x14ac:dyDescent="0.2">
      <c r="A13" s="201" t="s">
        <v>287</v>
      </c>
      <c r="B13" s="288" t="s">
        <v>92</v>
      </c>
      <c r="C13" s="294">
        <v>3</v>
      </c>
    </row>
    <row r="14" spans="1:3" ht="14.25" x14ac:dyDescent="0.2">
      <c r="A14" s="201" t="s">
        <v>286</v>
      </c>
      <c r="B14" s="288" t="s">
        <v>282</v>
      </c>
      <c r="C14" s="290">
        <f>C11*7/C13</f>
        <v>7.6222222222222227</v>
      </c>
    </row>
    <row r="15" spans="1:3" ht="14.25" x14ac:dyDescent="0.2">
      <c r="A15" s="286" t="s">
        <v>278</v>
      </c>
      <c r="B15" s="288" t="s">
        <v>279</v>
      </c>
      <c r="C15" s="226">
        <v>500</v>
      </c>
    </row>
    <row r="16" spans="1:3" ht="14.25" x14ac:dyDescent="0.2">
      <c r="A16" s="201" t="s">
        <v>292</v>
      </c>
      <c r="B16" s="288"/>
      <c r="C16" s="202">
        <v>2</v>
      </c>
    </row>
    <row r="17" spans="1:3" ht="14.25" x14ac:dyDescent="0.2">
      <c r="A17" s="286" t="s">
        <v>293</v>
      </c>
      <c r="B17" s="288" t="s">
        <v>280</v>
      </c>
      <c r="C17" s="202">
        <v>19</v>
      </c>
    </row>
    <row r="18" spans="1:3" ht="14.25" x14ac:dyDescent="0.2">
      <c r="A18" s="201" t="s">
        <v>288</v>
      </c>
      <c r="B18" s="288" t="s">
        <v>277</v>
      </c>
      <c r="C18" s="226">
        <f>IF(AND(C17&gt;=15,C16=1),5.8,C17/2)</f>
        <v>9.5</v>
      </c>
    </row>
    <row r="19" spans="1:3" ht="14.25" x14ac:dyDescent="0.2">
      <c r="A19" s="286" t="s">
        <v>289</v>
      </c>
      <c r="B19" s="288"/>
      <c r="C19" s="290">
        <f>C14/C18</f>
        <v>0.8023391812865498</v>
      </c>
    </row>
    <row r="20" spans="1:3" ht="14.25" x14ac:dyDescent="0.2">
      <c r="A20" s="286" t="s">
        <v>296</v>
      </c>
      <c r="B20" s="288"/>
      <c r="C20" s="299">
        <v>1.1000000000000001</v>
      </c>
    </row>
    <row r="21" spans="1:3" ht="15" thickBot="1" x14ac:dyDescent="0.25">
      <c r="A21" s="292" t="s">
        <v>290</v>
      </c>
      <c r="B21" s="293"/>
      <c r="C21" s="295">
        <f>C19/C20</f>
        <v>0.72939925571504516</v>
      </c>
    </row>
  </sheetData>
  <mergeCells count="1">
    <mergeCell ref="A6:C6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Cliente</cp:lastModifiedBy>
  <cp:lastPrinted>2019-04-16T11:30:39Z</cp:lastPrinted>
  <dcterms:created xsi:type="dcterms:W3CDTF">2000-12-13T10:02:50Z</dcterms:created>
  <dcterms:modified xsi:type="dcterms:W3CDTF">2021-11-30T18:42:28Z</dcterms:modified>
</cp:coreProperties>
</file>