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601"/>
  <workbookPr filterPrivacy="1" defaultThemeVersion="124226"/>
  <xr:revisionPtr revIDLastSave="0" documentId="8_{7396B077-6436-42A0-AB0A-A2444ACEAB69}" xr6:coauthVersionLast="43" xr6:coauthVersionMax="43" xr10:uidLastSave="{00000000-0000-0000-0000-000000000000}"/>
  <bookViews>
    <workbookView xWindow="-120" yWindow="-120" windowWidth="20730" windowHeight="11160" xr2:uid="{00000000-000D-0000-FFFF-FFFF00000000}"/>
  </bookViews>
  <sheets>
    <sheet name="Produtos Técnicos" sheetId="11" r:id="rId1"/>
    <sheet name="Cronograma" sheetId="12" r:id="rId2"/>
    <sheet name="Fator K e TRDE" sheetId="20" r:id="rId3"/>
    <sheet name="ORÇAMENTO" sheetId="14" r:id="rId4"/>
    <sheet name="Memória de Cálculo e Justif" sheetId="19" r:id="rId5"/>
    <sheet name="Referências" sheetId="21" r:id="rId6"/>
    <sheet name="Verificação" sheetId="15" r:id="rId7"/>
  </sheets>
  <definedNames>
    <definedName name="_xlnm.Print_Area" localSheetId="1">Cronograma!$B$1:$S$24</definedName>
    <definedName name="_xlnm.Print_Area" localSheetId="2">'Fator K e TRDE'!$B$1:$E$54</definedName>
    <definedName name="_xlnm.Print_Area" localSheetId="4">'Memória de Cálculo e Justif'!$A$1:$D$22</definedName>
    <definedName name="_xlnm.Print_Area" localSheetId="3">ORÇAMENTO!$A$1:$Z$36</definedName>
    <definedName name="_xlnm.Print_Area" localSheetId="0">'Produtos Técnicos'!$B$1:$D$23</definedName>
    <definedName name="_xlnm.Print_Area" localSheetId="5">Referências!$A$1:$R$214</definedName>
    <definedName name="_xlnm.Print_Area" localSheetId="6">Verificação!$A$1:$D$52</definedName>
    <definedName name="K">ORÇAMENTO!#REF!</definedName>
    <definedName name="TRDE">ORÇAMENTO!#REF!</definedName>
  </definedName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C6" i="15" l="1"/>
  <c r="U11" i="14"/>
  <c r="D10" i="20"/>
  <c r="C16" i="20" l="1"/>
  <c r="C17" i="20"/>
  <c r="U18" i="14"/>
  <c r="X30" i="14" l="1"/>
  <c r="X31" i="14"/>
  <c r="X34" i="14"/>
  <c r="X32" i="14"/>
  <c r="X29" i="14"/>
  <c r="X28" i="14"/>
  <c r="X12" i="14"/>
  <c r="X9" i="14"/>
  <c r="X13" i="14"/>
  <c r="X17" i="14"/>
  <c r="X14" i="14"/>
  <c r="X18" i="14"/>
  <c r="X15" i="14"/>
  <c r="X11" i="14"/>
  <c r="X16" i="14"/>
  <c r="C9" i="12"/>
  <c r="C10" i="12"/>
  <c r="C11" i="12"/>
  <c r="C12" i="12"/>
  <c r="C13" i="12"/>
  <c r="C14" i="12"/>
  <c r="C15" i="12"/>
  <c r="C16" i="12"/>
  <c r="C17" i="12"/>
  <c r="C18" i="12"/>
  <c r="C19" i="12"/>
  <c r="C20" i="12"/>
  <c r="C21" i="12"/>
  <c r="C22" i="12"/>
  <c r="C23" i="12"/>
  <c r="B9" i="12"/>
  <c r="B10" i="12"/>
  <c r="B11" i="12"/>
  <c r="B12" i="12"/>
  <c r="B13" i="12"/>
  <c r="B14" i="12"/>
  <c r="B15" i="12"/>
  <c r="B16" i="12"/>
  <c r="B17" i="12"/>
  <c r="B18" i="12"/>
  <c r="B19" i="12"/>
  <c r="B20" i="12"/>
  <c r="B21" i="12"/>
  <c r="B22" i="12"/>
  <c r="B23" i="12"/>
  <c r="B8" i="12"/>
  <c r="C8" i="12"/>
  <c r="B6" i="19"/>
  <c r="S6" i="14"/>
  <c r="R6" i="14"/>
  <c r="Q6" i="14"/>
  <c r="P6" i="14"/>
  <c r="O6" i="14"/>
  <c r="N6" i="14"/>
  <c r="M6" i="14"/>
  <c r="L6" i="14"/>
  <c r="K6" i="14"/>
  <c r="J6" i="14"/>
  <c r="I6" i="14"/>
  <c r="H6" i="14"/>
  <c r="G6" i="14"/>
  <c r="F6" i="14"/>
  <c r="E6" i="14"/>
  <c r="D6" i="14"/>
  <c r="U9" i="14" l="1"/>
  <c r="R16" i="14"/>
  <c r="N16" i="14"/>
  <c r="U13" i="14"/>
  <c r="U12" i="14"/>
  <c r="U14" i="14"/>
  <c r="G30" i="14"/>
  <c r="H30" i="14"/>
  <c r="I30" i="14"/>
  <c r="J30" i="14"/>
  <c r="K30" i="14"/>
  <c r="L30" i="14"/>
  <c r="M30" i="14"/>
  <c r="N30" i="14"/>
  <c r="O30" i="14"/>
  <c r="P30" i="14"/>
  <c r="Q30" i="14"/>
  <c r="R30" i="14"/>
  <c r="S30" i="14"/>
  <c r="E30" i="14"/>
  <c r="T30" i="14" l="1"/>
  <c r="C8" i="15"/>
  <c r="C11" i="15" s="1"/>
  <c r="T24" i="14" l="1"/>
  <c r="Y24" i="14" s="1"/>
  <c r="Z24" i="14" s="1"/>
  <c r="R9" i="12"/>
  <c r="E9" i="14" s="1"/>
  <c r="R10" i="12"/>
  <c r="F9" i="14" s="1"/>
  <c r="R11" i="12"/>
  <c r="G9" i="14" s="1"/>
  <c r="R12" i="12"/>
  <c r="R15" i="12"/>
  <c r="K9" i="14" s="1"/>
  <c r="R16" i="12"/>
  <c r="L9" i="14" s="1"/>
  <c r="R17" i="12"/>
  <c r="M9" i="14" s="1"/>
  <c r="R18" i="12"/>
  <c r="N9" i="14" s="1"/>
  <c r="R19" i="12"/>
  <c r="R20" i="12"/>
  <c r="R14" i="12"/>
  <c r="J9" i="14" s="1"/>
  <c r="R13" i="12"/>
  <c r="I9" i="14" s="1"/>
  <c r="R21" i="12"/>
  <c r="Q9" i="14" s="1"/>
  <c r="R22" i="12"/>
  <c r="R9" i="14" s="1"/>
  <c r="R23" i="12"/>
  <c r="S9" i="14" s="1"/>
  <c r="O9" i="14" l="1"/>
  <c r="O14" i="14"/>
  <c r="P9" i="14"/>
  <c r="P14" i="14"/>
  <c r="P16" i="14" s="1"/>
  <c r="H12" i="14"/>
  <c r="H16" i="14" s="1"/>
  <c r="H9" i="14"/>
  <c r="V19" i="12"/>
  <c r="T19" i="12"/>
  <c r="U19" i="12"/>
  <c r="T23" i="12"/>
  <c r="V23" i="12"/>
  <c r="U23" i="12"/>
  <c r="U17" i="12"/>
  <c r="T17" i="12"/>
  <c r="T20" i="12"/>
  <c r="U20" i="12"/>
  <c r="T16" i="12"/>
  <c r="U21" i="12"/>
  <c r="T21" i="12"/>
  <c r="T15" i="12"/>
  <c r="U15" i="12"/>
  <c r="U22" i="12"/>
  <c r="T22" i="12"/>
  <c r="V22" i="12"/>
  <c r="T13" i="12"/>
  <c r="T18" i="12"/>
  <c r="U18" i="12"/>
  <c r="G18" i="14"/>
  <c r="T18" i="14" s="1"/>
  <c r="Y18" i="14" s="1"/>
  <c r="N17" i="14"/>
  <c r="T17" i="14" s="1"/>
  <c r="M13" i="14"/>
  <c r="M16" i="14" s="1"/>
  <c r="K12" i="14"/>
  <c r="K14" i="14"/>
  <c r="R15" i="14"/>
  <c r="T15" i="14" s="1"/>
  <c r="G11" i="14"/>
  <c r="T11" i="14" s="1"/>
  <c r="Y11" i="14" s="1"/>
  <c r="L13" i="14"/>
  <c r="L16" i="14" s="1"/>
  <c r="J13" i="14"/>
  <c r="J16" i="14" s="1"/>
  <c r="I14" i="14"/>
  <c r="I13" i="14"/>
  <c r="S12" i="14"/>
  <c r="S16" i="14" s="1"/>
  <c r="Q12" i="14"/>
  <c r="Q16" i="14" s="1"/>
  <c r="W28" i="14"/>
  <c r="W29" i="14"/>
  <c r="E32" i="14"/>
  <c r="G32" i="14"/>
  <c r="H32" i="14"/>
  <c r="I32" i="14"/>
  <c r="J32" i="14"/>
  <c r="K32" i="14"/>
  <c r="L32" i="14"/>
  <c r="N32" i="14"/>
  <c r="O32" i="14"/>
  <c r="P32" i="14"/>
  <c r="Q32" i="14"/>
  <c r="R32" i="14"/>
  <c r="S32" i="14"/>
  <c r="E31" i="14"/>
  <c r="G31" i="14"/>
  <c r="H31" i="14"/>
  <c r="I31" i="14"/>
  <c r="J31" i="14"/>
  <c r="K31" i="14"/>
  <c r="L31" i="14"/>
  <c r="N31" i="14"/>
  <c r="O31" i="14"/>
  <c r="P31" i="14"/>
  <c r="Q31" i="14"/>
  <c r="R31" i="14"/>
  <c r="S31" i="14"/>
  <c r="W30" i="14"/>
  <c r="Y30" i="14" s="1"/>
  <c r="Z30" i="14" s="1"/>
  <c r="T34" i="14"/>
  <c r="W34" i="14"/>
  <c r="E20" i="14"/>
  <c r="T20" i="14" s="1"/>
  <c r="E23" i="14"/>
  <c r="T23" i="14" s="1"/>
  <c r="W23" i="14"/>
  <c r="E21" i="14"/>
  <c r="T21" i="14" s="1"/>
  <c r="T22" i="14"/>
  <c r="T25" i="14"/>
  <c r="T26" i="14"/>
  <c r="T28" i="14"/>
  <c r="Y28" i="14" s="1"/>
  <c r="Z28" i="14" s="1"/>
  <c r="T29" i="14"/>
  <c r="Y29" i="14" s="1"/>
  <c r="Z29" i="14" s="1"/>
  <c r="W26" i="14"/>
  <c r="W25" i="14"/>
  <c r="W22" i="14"/>
  <c r="W20" i="14"/>
  <c r="W21" i="14"/>
  <c r="U16" i="14"/>
  <c r="U17" i="14"/>
  <c r="U15" i="14"/>
  <c r="Y34" i="14" l="1"/>
  <c r="Z34" i="14" s="1"/>
  <c r="Y15" i="14"/>
  <c r="Z15" i="14" s="1"/>
  <c r="Y21" i="14"/>
  <c r="Z21" i="14" s="1"/>
  <c r="Y26" i="14"/>
  <c r="Z26" i="14" s="1"/>
  <c r="Y17" i="14"/>
  <c r="Z17" i="14" s="1"/>
  <c r="Y22" i="14"/>
  <c r="Z22" i="14" s="1"/>
  <c r="Y23" i="14"/>
  <c r="Z23" i="14" s="1"/>
  <c r="Y25" i="14"/>
  <c r="Z25" i="14" s="1"/>
  <c r="Y20" i="14"/>
  <c r="Z20" i="14" s="1"/>
  <c r="Z11" i="14"/>
  <c r="Z18" i="14"/>
  <c r="T14" i="14"/>
  <c r="Y14" i="14" s="1"/>
  <c r="I16" i="14"/>
  <c r="K16" i="14"/>
  <c r="T12" i="14"/>
  <c r="Y12" i="14" s="1"/>
  <c r="T32" i="14"/>
  <c r="Y32" i="14" s="1"/>
  <c r="Z32" i="14" s="1"/>
  <c r="T31" i="14"/>
  <c r="Y31" i="14" s="1"/>
  <c r="Z31" i="14" s="1"/>
  <c r="Z14" i="14" l="1"/>
  <c r="T16" i="14"/>
  <c r="Y16" i="14" s="1"/>
  <c r="Z12" i="14"/>
  <c r="T13" i="14"/>
  <c r="Y13" i="14" s="1"/>
  <c r="Z16" i="14" l="1"/>
  <c r="Z13" i="14"/>
  <c r="R8" i="12" l="1"/>
  <c r="D9" i="14" s="1"/>
  <c r="T9" i="14" l="1"/>
  <c r="Y9" i="14" s="1"/>
  <c r="K36" i="14" l="1"/>
  <c r="D14" i="11" s="1"/>
  <c r="S15" i="12" s="1"/>
  <c r="V15" i="12" s="1"/>
  <c r="W15" i="12" s="1"/>
  <c r="G36" i="14"/>
  <c r="D10" i="11" s="1"/>
  <c r="S11" i="12" s="1"/>
  <c r="T11" i="12" s="1"/>
  <c r="S36" i="14"/>
  <c r="D22" i="11" s="1"/>
  <c r="S23" i="12" s="1"/>
  <c r="W23" i="12" s="1"/>
  <c r="P36" i="14"/>
  <c r="D19" i="11" s="1"/>
  <c r="S20" i="12" s="1"/>
  <c r="V20" i="12" s="1"/>
  <c r="W20" i="12" s="1"/>
  <c r="D36" i="14" l="1"/>
  <c r="D7" i="11" s="1"/>
  <c r="Z9" i="14"/>
  <c r="Z36" i="14" s="1"/>
  <c r="C12" i="15" s="1"/>
  <c r="U11" i="12"/>
  <c r="V11" i="12" s="1"/>
  <c r="O36" i="14"/>
  <c r="D18" i="11" s="1"/>
  <c r="S19" i="12" s="1"/>
  <c r="W19" i="12" s="1"/>
  <c r="J36" i="14"/>
  <c r="D13" i="11" s="1"/>
  <c r="S14" i="12" s="1"/>
  <c r="T14" i="12" s="1"/>
  <c r="H36" i="14"/>
  <c r="D11" i="11" s="1"/>
  <c r="S12" i="12" s="1"/>
  <c r="T12" i="12" s="1"/>
  <c r="L36" i="14"/>
  <c r="D15" i="11" s="1"/>
  <c r="S16" i="12" s="1"/>
  <c r="U16" i="12" s="1"/>
  <c r="E36" i="14"/>
  <c r="D8" i="11" s="1"/>
  <c r="S9" i="12" s="1"/>
  <c r="T9" i="12" s="1"/>
  <c r="M36" i="14"/>
  <c r="D16" i="11" s="1"/>
  <c r="S17" i="12" s="1"/>
  <c r="V17" i="12" s="1"/>
  <c r="W17" i="12" s="1"/>
  <c r="N36" i="14"/>
  <c r="D17" i="11" s="1"/>
  <c r="S18" i="12" s="1"/>
  <c r="V18" i="12" s="1"/>
  <c r="W18" i="12" s="1"/>
  <c r="Q36" i="14"/>
  <c r="D20" i="11" s="1"/>
  <c r="S21" i="12" s="1"/>
  <c r="V21" i="12" s="1"/>
  <c r="W21" i="12" s="1"/>
  <c r="I36" i="14"/>
  <c r="D12" i="11" s="1"/>
  <c r="S13" i="12" s="1"/>
  <c r="U13" i="12" s="1"/>
  <c r="R36" i="14"/>
  <c r="D21" i="11" s="1"/>
  <c r="S22" i="12" s="1"/>
  <c r="W22" i="12" s="1"/>
  <c r="F36" i="14"/>
  <c r="D9" i="11" s="1"/>
  <c r="S10" i="12" s="1"/>
  <c r="T10" i="12" s="1"/>
  <c r="C13" i="15" l="1"/>
  <c r="C14" i="15"/>
  <c r="U10" i="12"/>
  <c r="V10" i="12" s="1"/>
  <c r="U12" i="12"/>
  <c r="V12" i="12" s="1"/>
  <c r="W12" i="12" s="1"/>
  <c r="W11" i="12"/>
  <c r="U14" i="12"/>
  <c r="U9" i="12"/>
  <c r="V13" i="12"/>
  <c r="W13" i="12" s="1"/>
  <c r="V16" i="12"/>
  <c r="W16" i="12" s="1"/>
  <c r="S8" i="12"/>
  <c r="D23" i="11"/>
  <c r="T36" i="14"/>
  <c r="W10" i="12" l="1"/>
  <c r="V9" i="12"/>
  <c r="W9" i="12" s="1"/>
  <c r="V14" i="12"/>
  <c r="W14" i="12" s="1"/>
  <c r="S24" i="12"/>
  <c r="T8" i="12"/>
  <c r="T24" i="12" l="1"/>
  <c r="F24" i="12" s="1"/>
  <c r="U8" i="12"/>
  <c r="U24" i="12" s="1"/>
  <c r="J24" i="12" s="1"/>
  <c r="V8" i="12" l="1"/>
  <c r="V24" i="12" s="1"/>
  <c r="N24" i="12" s="1"/>
  <c r="W8" i="12" l="1"/>
  <c r="W24" i="12" s="1"/>
  <c r="P24" i="12" s="1"/>
</calcChain>
</file>

<file path=xl/sharedStrings.xml><?xml version="1.0" encoding="utf-8"?>
<sst xmlns="http://schemas.openxmlformats.org/spreadsheetml/2006/main" count="280" uniqueCount="208">
  <si>
    <t>vb</t>
  </si>
  <si>
    <t>m²</t>
  </si>
  <si>
    <t>m</t>
  </si>
  <si>
    <t>unid.</t>
  </si>
  <si>
    <t>LEVANTAMENTO PLANIALTIMÉTRICO E BATIMÉTRICO</t>
  </si>
  <si>
    <t>ESTUDO GEOLÓGICO</t>
  </si>
  <si>
    <t>ESTUDO HIDROLÓGICO</t>
  </si>
  <si>
    <t>ESTUDO AMBIENTAL</t>
  </si>
  <si>
    <t>ESTUDO DE VIABILIDADE TÉCNICA</t>
  </si>
  <si>
    <t>PROJETO GEOMÉTRICO (com Anteprojeto)</t>
  </si>
  <si>
    <t>PROJETO VIÁRIO (inclui sinalização)</t>
  </si>
  <si>
    <t>PROJETO DA OBRA DE ARTE ESPECIAL</t>
  </si>
  <si>
    <t>PROJETO DE TERRAPLENAGEM (com anteprojeto)</t>
  </si>
  <si>
    <t>PROJETO DE PAVIMENTAÇÃO</t>
  </si>
  <si>
    <t>PROJETO DE ILUMINAÇÃO PÚBLICA</t>
  </si>
  <si>
    <t>PROJETO DE DEMOLIÇÃO</t>
  </si>
  <si>
    <t>PLANO DE EXECUÇÃO DE OBRA</t>
  </si>
  <si>
    <t>ORÇAMENTO</t>
  </si>
  <si>
    <t>PROJETO EXECUTIVO PARA LICITAÇÃO</t>
  </si>
  <si>
    <t>Motorista</t>
  </si>
  <si>
    <t>Eng. Eletricista (Pleno)</t>
  </si>
  <si>
    <t>SINAPI</t>
  </si>
  <si>
    <t>Despesas Gerais</t>
  </si>
  <si>
    <t xml:space="preserve">Diárias Pessoal Nível Superior </t>
  </si>
  <si>
    <t>Diárias Pessoal - Técnico</t>
  </si>
  <si>
    <t>Serviços Gráficos</t>
  </si>
  <si>
    <t>semana</t>
  </si>
  <si>
    <t>TOTAL SEMANAS</t>
  </si>
  <si>
    <t>unidade</t>
  </si>
  <si>
    <t>Flutuante/Balsa (aluguel)</t>
  </si>
  <si>
    <t>horas</t>
  </si>
  <si>
    <t>Quantit. TOTAL</t>
  </si>
  <si>
    <t>Total (R$)</t>
  </si>
  <si>
    <t>Correção fev/22</t>
  </si>
  <si>
    <t>K1</t>
  </si>
  <si>
    <t>K2</t>
  </si>
  <si>
    <t>K3</t>
  </si>
  <si>
    <t>K4</t>
  </si>
  <si>
    <t>Sondagem a Percussão (SPT) com Amostragem Contínua</t>
  </si>
  <si>
    <t>Mobilização de Equipamentos de Sondagem Rotativa e Percussão</t>
  </si>
  <si>
    <t>Sondagem Rotativa em Rocha Sedimentar d B (BWG)</t>
  </si>
  <si>
    <t>Custo Unitário</t>
  </si>
  <si>
    <t>estudo</t>
  </si>
  <si>
    <t>Hidrologia e Projeto Hidráulico de Pontes</t>
  </si>
  <si>
    <t>Estudo Topográfico para Pontes de 51 a 200m</t>
  </si>
  <si>
    <t>Instalação de Equipamentos de Sondagem Rotativa e/ou Percussão e/ou CPTU - por Furo</t>
  </si>
  <si>
    <t>Serviços Gráficos - Pontes / Viadutos &lt; 100m</t>
  </si>
  <si>
    <t>Combustível (Gasolina)</t>
  </si>
  <si>
    <t>Gol 1.0 8V ou similar</t>
  </si>
  <si>
    <t>aluguel mês</t>
  </si>
  <si>
    <t>Profissional/Serviço</t>
  </si>
  <si>
    <t>dia</t>
  </si>
  <si>
    <t>TRDE</t>
  </si>
  <si>
    <t>litros</t>
  </si>
  <si>
    <t>TOTAL por Produto</t>
  </si>
  <si>
    <t>Unitário Final Corrigido + Encargos</t>
  </si>
  <si>
    <t>Eng. Civil Júnior</t>
  </si>
  <si>
    <t>Produtos previstos no TR de Projeto da Ponte</t>
  </si>
  <si>
    <t>Valor Estimado (R$)</t>
  </si>
  <si>
    <t>Item do TR</t>
  </si>
  <si>
    <t>ASSESSORIA NO REMANEJAMENTO DE REDES PÚBLICAS</t>
  </si>
  <si>
    <t>Item</t>
  </si>
  <si>
    <t>8.1</t>
  </si>
  <si>
    <t>8.2</t>
  </si>
  <si>
    <t>8.3</t>
  </si>
  <si>
    <t>8.4</t>
  </si>
  <si>
    <t>8.5</t>
  </si>
  <si>
    <t>8.6</t>
  </si>
  <si>
    <t>8.7</t>
  </si>
  <si>
    <t>8.8</t>
  </si>
  <si>
    <t>8.9</t>
  </si>
  <si>
    <t>8.10</t>
  </si>
  <si>
    <t>8.11</t>
  </si>
  <si>
    <t>8.12</t>
  </si>
  <si>
    <t>8.13</t>
  </si>
  <si>
    <t>8.14</t>
  </si>
  <si>
    <t>8.15</t>
  </si>
  <si>
    <t>8.16</t>
  </si>
  <si>
    <t>VALOR TOTAL ESTIMADO</t>
  </si>
  <si>
    <t>Extensão da ponte a ser projetada</t>
  </si>
  <si>
    <t>Corresponde a extensão da ponte existente. Uma vez que é esperado o aproveitamento das estruturas de apoio existentes nas cabeceiras, pressupõe-se que a extensão será preservada.</t>
  </si>
  <si>
    <t>Dados Básicos do Projeto</t>
  </si>
  <si>
    <t>Largura da ponte a ser projetada</t>
  </si>
  <si>
    <t>Corresponde à seção inicialmente estudada pela Contratante, a qual prevê duas pistas para veículos, ciclovia e passeios.</t>
  </si>
  <si>
    <t>Área da ponte a ser projetada</t>
  </si>
  <si>
    <t xml:space="preserve">m </t>
  </si>
  <si>
    <t>Extensão multiplicada pela largura</t>
  </si>
  <si>
    <t>Número de apoios estimados</t>
  </si>
  <si>
    <t>unid</t>
  </si>
  <si>
    <t>Considerando vãos entre 25 e 30 metros, a ponte teria três vãos e quatro apoios, sendo dois no leito do arroio e dois nas suas margens.</t>
  </si>
  <si>
    <t>Profundidade da sondagem SPT</t>
  </si>
  <si>
    <t>Gestão e Coordenação</t>
  </si>
  <si>
    <t>Equipe Técnica de Projetos</t>
  </si>
  <si>
    <t>Levantamentos de Campo</t>
  </si>
  <si>
    <t>Coordenador (Eng. sênior)</t>
  </si>
  <si>
    <t>Eng. Ambiental (Eng. Civil Pleno)</t>
  </si>
  <si>
    <t>Eng. de Rodovias (Eng. Civil Pleno)</t>
  </si>
  <si>
    <t>Auxiliar Técnico</t>
  </si>
  <si>
    <t>Complexidade</t>
  </si>
  <si>
    <t>Encargos Sociais Incidentes sobre MO</t>
  </si>
  <si>
    <t xml:space="preserve">Remuneração Bruta </t>
  </si>
  <si>
    <t>Tributos</t>
  </si>
  <si>
    <t>Fator K</t>
  </si>
  <si>
    <t>Custos da Administração Central</t>
  </si>
  <si>
    <t>Eng. de Estruturas (Eng. Civil Sênior)</t>
  </si>
  <si>
    <t>Eng. Esp. Orçamento (Eng. Civil Pleno)</t>
  </si>
  <si>
    <t>Mês 1</t>
  </si>
  <si>
    <t>Mês 2</t>
  </si>
  <si>
    <t>Mês 3</t>
  </si>
  <si>
    <t>Mês 4</t>
  </si>
  <si>
    <t>Valores dos Produtos</t>
  </si>
  <si>
    <t>Valor Mensal</t>
  </si>
  <si>
    <t>Componente</t>
  </si>
  <si>
    <t>Descrição</t>
  </si>
  <si>
    <t>Observações</t>
  </si>
  <si>
    <t>Valor Adotado</t>
  </si>
  <si>
    <t>Taxa a ser aplicada aos custos diretos de despesas do escritório</t>
  </si>
  <si>
    <t>Taxa a ser aplicada aos custos diretos de Mão de Obra</t>
  </si>
  <si>
    <t xml:space="preserve">Observações: </t>
  </si>
  <si>
    <t>PIS</t>
  </si>
  <si>
    <t>COFINS</t>
  </si>
  <si>
    <t>ISSQN médio</t>
  </si>
  <si>
    <t>K4a</t>
  </si>
  <si>
    <t>K4b</t>
  </si>
  <si>
    <t>K4c</t>
  </si>
  <si>
    <t>K4d</t>
  </si>
  <si>
    <t>* Extraído da publicação Orientações para a Elaboração de Planilhas Orçamentárias de Obras Públicas - Tribunal de Contas da União - 2014</t>
  </si>
  <si>
    <t>CPRB</t>
  </si>
  <si>
    <t>d</t>
  </si>
  <si>
    <t>b</t>
  </si>
  <si>
    <t>a</t>
  </si>
  <si>
    <t>c</t>
  </si>
  <si>
    <t>Valor histórico de remuneração de empresas de consultoria (10% a 12%).</t>
  </si>
  <si>
    <t>Valor histórico de custos com a administração central (20% a 30%).</t>
  </si>
  <si>
    <t>PIS, COFINS, ISS e CPRB (não desonerado).</t>
  </si>
  <si>
    <t>SINAPI 34782  (FEV/2022)</t>
  </si>
  <si>
    <t>SINAPI 34780 (FEV/2022)</t>
  </si>
  <si>
    <t>SINAPI 34779 (FEV/2022)</t>
  </si>
  <si>
    <t>SINAPI 2358 (FEV/2022)</t>
  </si>
  <si>
    <t>SINAPI 34783 (FEV/2022)</t>
  </si>
  <si>
    <t>SINAPI 532 (FEV/2022)</t>
  </si>
  <si>
    <t>DAER-RS (JAN/2021)</t>
  </si>
  <si>
    <t>SINAPI-I 4222 (FEV/2022)</t>
  </si>
  <si>
    <t>REFERÊNCIAS DE CUSTOS UTILIZADAS</t>
  </si>
  <si>
    <t>DAER/RS</t>
  </si>
  <si>
    <t>CEHOP/SE</t>
  </si>
  <si>
    <t>DNIT</t>
  </si>
  <si>
    <t>REFERÊNCIA UTILIZADA
SINAPI-FEV/22
SICRO-OUT/21
DAER-JAN/21 
ORSE-FEV/22</t>
  </si>
  <si>
    <t>ORSE (FEV/22)</t>
  </si>
  <si>
    <t>Esforço (horas semanais)</t>
  </si>
  <si>
    <t>A Formação Graxaim ocorre à oeste da Lagoa dos Patos, na Planície Gaúcha, entre Arroio Grande e Guaíba, bem como em Pedro Osório, Pelotas, São Lourenço do Sul, Camaquã, Tapes e Barra do Ribeiro. Compõem-na arenitos arcoseanos, com fáceis síltico-argilosa e arenoconglomerática, fracamente consolidados, que têm sido interpretados como depósitos de leques aluviais. Sua deposição iniciou-se no Mioceno Superior, ou no Plioceno, e estendeu-se até o Pleistoceno Superior. 
http://coralx.ufsm.br/ifcrs/geologia.htm#cenozoica - acesso em 30/03/2022</t>
  </si>
  <si>
    <r>
      <rPr>
        <sz val="11"/>
        <color theme="4" tint="0.59999389629810485"/>
        <rFont val="Calibri"/>
        <family val="2"/>
        <scheme val="minor"/>
      </rPr>
      <t>.</t>
    </r>
    <r>
      <rPr>
        <sz val="11"/>
        <color theme="1"/>
        <rFont val="Calibri"/>
        <family val="2"/>
        <scheme val="minor"/>
      </rPr>
      <t xml:space="preserve">    Produtos
Unidade</t>
    </r>
  </si>
  <si>
    <t>SINAPI 34782 (FEV/2022)</t>
  </si>
  <si>
    <t xml:space="preserve">Diárias, motoristas, veículos e combustível </t>
  </si>
  <si>
    <t>Os valoes dos serviços Levantamento Planialtimétrico e Batimétrico, Estudo Geológico e Estudo Hidrol´gico foram entendidos como completos, já incluindo as despesas com diárias e transporte.</t>
  </si>
  <si>
    <t>Referências</t>
  </si>
  <si>
    <t>Fator K
TRDE</t>
  </si>
  <si>
    <t>ESTIMATIVA DE CUSTOS DE ESTUDOS E PROJETOS</t>
  </si>
  <si>
    <t>Objeto:</t>
  </si>
  <si>
    <t>Local:</t>
  </si>
  <si>
    <t>CRONOGRAMA DE ESTUDOS E PROJETOS</t>
  </si>
  <si>
    <t>TABELA DE ATUALIZAÇÃO DE VALORES</t>
  </si>
  <si>
    <t>Contratação de empresa especializada para a elaboração de estudos e projetos executivos para a construção de uma ponte sobre o Arroio Velhaco</t>
  </si>
  <si>
    <t>VERIFICAÇÃO DO VALOR GLOBAL DAS ESTIMATIVAS</t>
  </si>
  <si>
    <t>https://www.crea-mt.org.br/portal/wp-content/uploads/2021/05/CONFIRA-A-TABELA-DE-HONORARIOS-PROFISSIONAIS-BASICOS-DA-ABENC.pdf</t>
  </si>
  <si>
    <t>Associação Brasileira de Engenheiros Civis - MT</t>
  </si>
  <si>
    <t>Estimativo do custo total de projetos</t>
  </si>
  <si>
    <t>https://www.daer.rs.gov.br/upload/arquivos/202109/27181957-tabela-projeto-21.pdf</t>
  </si>
  <si>
    <t>http://orse.cehop.se.gov.br/insumos.asp</t>
  </si>
  <si>
    <t>https://www.gov.br/dnit/pt-br/assuntos/planejamento-e-pesquisa/custos-e-pagamentos/custos-e-pagamentos-dnit/indices-de-reajustamentos/indices-de-reajustamentos-de-obras-rodoviario</t>
  </si>
  <si>
    <t>Estimativa do preço global  de projetos ABENC/MT</t>
  </si>
  <si>
    <t>Preço global estimado através do presente trabalho</t>
  </si>
  <si>
    <t>Diferença</t>
  </si>
  <si>
    <t>RELAÇÃO DE PRODUTOS TÉCNICOS</t>
  </si>
  <si>
    <t>FATOR K e TRDE</t>
  </si>
  <si>
    <t>Verificação da compatibilidade de preços</t>
  </si>
  <si>
    <t>Rua Adelino Machado Souza - Município de Arambaré/RS</t>
  </si>
  <si>
    <t>Produtos do Termo de Referência</t>
  </si>
  <si>
    <t>FEV/2022  -  Não Desonerado</t>
  </si>
  <si>
    <t>Critérios de precificação</t>
  </si>
  <si>
    <t>Sondagem Rotativa - Tipo de rocha</t>
  </si>
  <si>
    <t>Horas de Coordenador</t>
  </si>
  <si>
    <t xml:space="preserve">O trabalho do Coordenador é contínuo, mas é dependente da quantidade de atividades em desenvolvimento num determinado momento.
Complexidade do trabalho de coordenação: 
a)  Baixa = 2h semanais
b)  Média = 4h semanais
c)  Alta = 8h semanais
d)  Levantamentos = 1h semanal
O total de horas de coordenação representa 5,6% do total de horas de trabalho das demais atividades. </t>
  </si>
  <si>
    <t>Utilizada a Tabela do DAER para levantamentos e estudos, com data base de JAN/2021. 
https://www.daer.rs.gov.br/upload/arquivos/202109/27181957-tabela-projeto-21.pdf</t>
  </si>
  <si>
    <t>Referencial de Preços de Projeto - DAER/RS</t>
  </si>
  <si>
    <t>ORSE - CEHOP/SE</t>
  </si>
  <si>
    <t>Utilizado sistema ORSE FEV/2022 para obtenção de referência de aluguel de balsa, ausente na tabela do DAER
http://orse.cehop.se.gov.br/insumos.asp</t>
  </si>
  <si>
    <t>SICRO</t>
  </si>
  <si>
    <t>Foi utilizada a tabela de reajustamento do DNIT de contratos de consultoria para atualizar os valores da tabela do DAER, que se encontra com mais de um ano de defasagem. 
Fator em JAN/2021 = 245,714
Fator em FEV/2022 = 259,050
Variação % = 5,4274%</t>
  </si>
  <si>
    <t>Fator K e TRDE</t>
  </si>
  <si>
    <t>No cálculo do índice K4 foi considerado o valor de 3% de ISSQN por ser um valor médio praticado pelos municípios. Não é possível definir com precisão o ISSQN a ser aplicado por depender da localização da sede da empresa que irá elaborar os projetos.</t>
  </si>
  <si>
    <t>Dimensionamento das horas dos projetistas</t>
  </si>
  <si>
    <t>Foi realizada considerando o tempo estimado para a elaboração dos projetos e a complexidade do projeto (horas semanais).</t>
  </si>
  <si>
    <t>Diárias e deslocamentos</t>
  </si>
  <si>
    <t>Consideradas necessidades de vistorias e apresentação dos estudos e projetos. Para as atividades cuja referência é a tabela do DAER/RS não foram previstos deslocamentos e diárias por entendermos que tais despesas já estão computadas na estimativa.</t>
  </si>
  <si>
    <t>Utilizada a referência SINAPI para mão de obra, com data base de FEV/2022. Foram retirados os encargos sociais dos insumos de mão de obra para a aplicação do Fator K.
https://www.caixa.gov.br/poder-publico/modernizacao-gestao/sinapi/Paginas/default.aspx</t>
  </si>
  <si>
    <t>Área da ponte projetada (12,70m x 91,70m):</t>
  </si>
  <si>
    <t>Custo de projeto por m²:</t>
  </si>
  <si>
    <t>MEMÓRIA DE CÁLCULOS E JUSTIFICATIVAS</t>
  </si>
  <si>
    <t>Profundidade da sondagem rotativa</t>
  </si>
  <si>
    <t>Considerada como profundidade mínima de investigação na camada impenetrável. A camada impenetrável foi considerada como rocha sedimentar.</t>
  </si>
  <si>
    <t xml:space="preserve">Considerado o relatório de sondagem fornecido pela CONTRATANTE, que indica, em prospecção realizada na margem do arroio, uma camada impenetrável a 14,55 m de profundidade. </t>
  </si>
  <si>
    <t>Data-Base:</t>
  </si>
  <si>
    <t>Desenhista Cadista</t>
  </si>
  <si>
    <t>Dimensionamento das horas de Desenhista e Auxiliar Técnico dos Estudos Ambientais</t>
  </si>
  <si>
    <t xml:space="preserve">Foi utilizado 40% do tempo dos projetistas para a definição do tempo dos desenhistas e auxiliares técnicos. </t>
  </si>
  <si>
    <t>O Fator K e a TRDE só devem ser utilizados quando a estimativa dos preços for obtida através de composições de custos unitários.
A utilização de BDI sobre valores obtidos em tabelas de referência deve ocorrer somente nos casos em que estes sabidamente serão contratados de empresas terceiras.
Ao utilizar os valores de mão de obra do SINAPI em composições de custo, deve ser retirados os encargos sociais antes da aplicação do Fator K.</t>
  </si>
  <si>
    <t>Valor utilizado em operações OGU do MDR.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</si>
</sst>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_-* #,##0_-;\-* #,##0_-;_-* &quot;-&quot;??_-;_-@_-"/>
    <numFmt numFmtId="165" formatCode="_-* #,##0.0000_-;\-* #,##0.0000_-;_-* &quot;-&quot;??_-;_-@_-"/>
    <numFmt numFmtId="166" formatCode="_-* #,##0.00000_-;\-* #,##0.00000_-;_-* &quot;-&quot;??_-;_-@_-"/>
    <numFmt numFmtId="167" formatCode="mmm/yyyy"/>
  </numFmts>
  <fonts count="21" x14ac:knownFonts="1">
    <font>
      <sz val="11"/>
      <color theme="1"/>
      <name val="Calibri"/>
      <family val="2"/>
      <scheme val="minor"/>
    </font>
    <font>
      <sz val="11"/>
      <color theme="1"/>
      <name val="Calibri"/>
      <family val="2"/>
      <scheme val="minor"/>
    </font>
    <font>
      <b/>
      <sz val="11"/>
      <color theme="1"/>
      <name val="Calibri"/>
      <family val="2"/>
      <scheme val="minor"/>
    </font>
    <font>
      <u/>
      <sz val="11"/>
      <color theme="10"/>
      <name val="Calibri"/>
      <family val="2"/>
      <scheme val="minor"/>
    </font>
    <font>
      <sz val="11"/>
      <color theme="0" tint="-0.34998626667073579"/>
      <name val="Calibri"/>
      <family val="2"/>
      <scheme val="minor"/>
    </font>
    <font>
      <b/>
      <i/>
      <sz val="11"/>
      <color theme="1"/>
      <name val="Calibri"/>
      <family val="2"/>
      <scheme val="minor"/>
    </font>
    <font>
      <sz val="8"/>
      <color theme="1"/>
      <name val="Calibri"/>
      <family val="2"/>
      <scheme val="minor"/>
    </font>
    <font>
      <sz val="11"/>
      <color rgb="FF006100"/>
      <name val="Calibri"/>
      <family val="2"/>
      <scheme val="minor"/>
    </font>
    <font>
      <b/>
      <sz val="12"/>
      <color theme="1"/>
      <name val="Calibri"/>
      <family val="2"/>
      <scheme val="minor"/>
    </font>
    <font>
      <b/>
      <sz val="16"/>
      <color theme="1"/>
      <name val="Calibri"/>
      <family val="2"/>
      <scheme val="minor"/>
    </font>
    <font>
      <sz val="11"/>
      <name val="Calibri"/>
      <family val="2"/>
      <scheme val="minor"/>
    </font>
    <font>
      <b/>
      <sz val="14"/>
      <color theme="1"/>
      <name val="Calibri"/>
      <family val="2"/>
      <scheme val="minor"/>
    </font>
    <font>
      <sz val="9"/>
      <color theme="1"/>
      <name val="Calibri"/>
      <family val="2"/>
      <scheme val="minor"/>
    </font>
    <font>
      <b/>
      <sz val="9"/>
      <color theme="1"/>
      <name val="Calibri"/>
      <family val="2"/>
      <scheme val="minor"/>
    </font>
    <font>
      <i/>
      <sz val="9"/>
      <color theme="1"/>
      <name val="Calibri"/>
      <family val="2"/>
      <scheme val="minor"/>
    </font>
    <font>
      <sz val="9"/>
      <color theme="4"/>
      <name val="Calibri"/>
      <family val="2"/>
      <scheme val="minor"/>
    </font>
    <font>
      <b/>
      <sz val="12"/>
      <name val="Calibri"/>
      <family val="2"/>
      <scheme val="minor"/>
    </font>
    <font>
      <sz val="11"/>
      <color theme="4" tint="0.59999389629810485"/>
      <name val="Calibri"/>
      <family val="2"/>
      <scheme val="minor"/>
    </font>
    <font>
      <u/>
      <sz val="9"/>
      <color theme="10"/>
      <name val="Calibri"/>
      <family val="2"/>
      <scheme val="minor"/>
    </font>
    <font>
      <b/>
      <sz val="9"/>
      <name val="Calibri"/>
      <family val="2"/>
      <scheme val="minor"/>
    </font>
    <font>
      <u/>
      <sz val="8"/>
      <color theme="10"/>
      <name val="Calibri"/>
      <family val="2"/>
      <scheme val="minor"/>
    </font>
  </fonts>
  <fills count="6">
    <fill>
      <patternFill patternType="none"/>
    </fill>
    <fill>
      <patternFill patternType="gray125"/>
    </fill>
    <fill>
      <patternFill patternType="solid">
        <fgColor theme="6" tint="0.39997558519241921"/>
        <bgColor indexed="64"/>
      </patternFill>
    </fill>
    <fill>
      <patternFill patternType="solid">
        <fgColor rgb="FFC6EFCE"/>
      </patternFill>
    </fill>
    <fill>
      <patternFill patternType="solid">
        <fgColor theme="4" tint="0.59999389629810485"/>
        <bgColor indexed="64"/>
      </patternFill>
    </fill>
    <fill>
      <patternFill patternType="solid">
        <fgColor theme="6" tint="0.59999389629810485"/>
        <bgColor indexed="64"/>
      </patternFill>
    </fill>
  </fills>
  <borders count="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thin">
        <color auto="1"/>
      </top>
      <bottom style="medium">
        <color auto="1"/>
      </bottom>
      <diagonal/>
    </border>
    <border>
      <left/>
      <right style="thin">
        <color auto="1"/>
      </right>
      <top style="thin">
        <color auto="1"/>
      </top>
      <bottom style="medium">
        <color auto="1"/>
      </bottom>
      <diagonal/>
    </border>
    <border>
      <left/>
      <right/>
      <top style="thin">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auto="1"/>
      </right>
      <top style="medium">
        <color auto="1"/>
      </top>
      <bottom style="thin">
        <color auto="1"/>
      </bottom>
      <diagonal/>
    </border>
    <border>
      <left style="thin">
        <color auto="1"/>
      </left>
      <right/>
      <top style="medium">
        <color auto="1"/>
      </top>
      <bottom style="thin">
        <color auto="1"/>
      </bottom>
      <diagonal/>
    </border>
    <border>
      <left style="medium">
        <color auto="1"/>
      </left>
      <right style="medium">
        <color indexed="64"/>
      </right>
      <top style="medium">
        <color auto="1"/>
      </top>
      <bottom style="thin">
        <color auto="1"/>
      </bottom>
      <diagonal/>
    </border>
    <border>
      <left style="medium">
        <color auto="1"/>
      </left>
      <right style="medium">
        <color indexed="64"/>
      </right>
      <top style="thin">
        <color auto="1"/>
      </top>
      <bottom style="thin">
        <color auto="1"/>
      </bottom>
      <diagonal/>
    </border>
    <border>
      <left style="medium">
        <color auto="1"/>
      </left>
      <right style="medium">
        <color indexed="64"/>
      </right>
      <top style="thin">
        <color auto="1"/>
      </top>
      <bottom style="medium">
        <color indexed="64"/>
      </bottom>
      <diagonal/>
    </border>
    <border>
      <left/>
      <right style="medium">
        <color indexed="64"/>
      </right>
      <top style="thin">
        <color indexed="64"/>
      </top>
      <bottom style="medium">
        <color indexed="64"/>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thin">
        <color indexed="64"/>
      </left>
      <right style="thin">
        <color indexed="64"/>
      </right>
      <top style="thin">
        <color indexed="64"/>
      </top>
      <bottom/>
      <diagonal/>
    </border>
    <border>
      <left style="medium">
        <color auto="1"/>
      </left>
      <right style="medium">
        <color indexed="64"/>
      </right>
      <top style="thin">
        <color auto="1"/>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style="thin">
        <color indexed="64"/>
      </left>
      <right style="thin">
        <color indexed="64"/>
      </right>
      <top/>
      <bottom style="thin">
        <color indexed="64"/>
      </bottom>
      <diagonal/>
    </border>
    <border>
      <left style="medium">
        <color auto="1"/>
      </left>
      <right style="medium">
        <color indexed="64"/>
      </right>
      <top/>
      <bottom style="thin">
        <color auto="1"/>
      </bottom>
      <diagonal/>
    </border>
    <border>
      <left style="thin">
        <color indexed="64"/>
      </left>
      <right/>
      <top style="thin">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style="thin">
        <color auto="1"/>
      </left>
      <right style="medium">
        <color auto="1"/>
      </right>
      <top style="medium">
        <color auto="1"/>
      </top>
      <bottom/>
      <diagonal/>
    </border>
    <border>
      <left style="thin">
        <color auto="1"/>
      </left>
      <right style="medium">
        <color auto="1"/>
      </right>
      <top/>
      <bottom/>
      <diagonal/>
    </border>
    <border>
      <left style="thin">
        <color auto="1"/>
      </left>
      <right style="medium">
        <color auto="1"/>
      </right>
      <top/>
      <bottom style="medium">
        <color auto="1"/>
      </bottom>
      <diagonal/>
    </border>
    <border>
      <left/>
      <right/>
      <top/>
      <bottom style="thick">
        <color auto="1"/>
      </bottom>
      <diagonal/>
    </border>
    <border>
      <left style="medium">
        <color auto="1"/>
      </left>
      <right/>
      <top style="thin">
        <color auto="1"/>
      </top>
      <bottom style="thin">
        <color auto="1"/>
      </bottom>
      <diagonal/>
    </border>
    <border>
      <left style="medium">
        <color auto="1"/>
      </left>
      <right/>
      <top style="thin">
        <color auto="1"/>
      </top>
      <bottom/>
      <diagonal/>
    </border>
    <border>
      <left/>
      <right style="thin">
        <color auto="1"/>
      </right>
      <top style="medium">
        <color auto="1"/>
      </top>
      <bottom style="medium">
        <color auto="1"/>
      </bottom>
      <diagonal/>
    </border>
    <border diagonalDown="1">
      <left style="thin">
        <color auto="1"/>
      </left>
      <right style="medium">
        <color auto="1"/>
      </right>
      <top style="medium">
        <color auto="1"/>
      </top>
      <bottom style="medium">
        <color auto="1"/>
      </bottom>
      <diagonal style="thin">
        <color auto="1"/>
      </diagonal>
    </border>
    <border>
      <left/>
      <right/>
      <top style="medium">
        <color indexed="64"/>
      </top>
      <bottom style="thin">
        <color auto="1"/>
      </bottom>
      <diagonal/>
    </border>
    <border>
      <left style="thin">
        <color auto="1"/>
      </left>
      <right/>
      <top style="medium">
        <color auto="1"/>
      </top>
      <bottom style="medium">
        <color auto="1"/>
      </bottom>
      <diagonal/>
    </border>
    <border>
      <left/>
      <right/>
      <top style="thick">
        <color auto="1"/>
      </top>
      <bottom/>
      <diagonal/>
    </border>
    <border>
      <left style="medium">
        <color indexed="64"/>
      </left>
      <right style="thin">
        <color indexed="64"/>
      </right>
      <top/>
      <bottom style="medium">
        <color indexed="64"/>
      </bottom>
      <diagonal/>
    </border>
    <border>
      <left/>
      <right style="medium">
        <color auto="1"/>
      </right>
      <top style="thin">
        <color auto="1"/>
      </top>
      <bottom/>
      <diagonal/>
    </border>
    <border>
      <left/>
      <right/>
      <top style="thin">
        <color auto="1"/>
      </top>
      <bottom style="thin">
        <color auto="1"/>
      </bottom>
      <diagonal/>
    </border>
    <border>
      <left/>
      <right/>
      <top style="thin">
        <color auto="1"/>
      </top>
      <bottom style="medium">
        <color auto="1"/>
      </bottom>
      <diagonal/>
    </border>
  </borders>
  <cellStyleXfs count="5">
    <xf numFmtId="0" fontId="0" fillId="0" borderId="0"/>
    <xf numFmtId="43" fontId="1" fillId="0" borderId="0" applyFont="0" applyFill="0" applyBorder="0" applyAlignment="0" applyProtection="0"/>
    <xf numFmtId="9" fontId="1" fillId="0" borderId="0" applyFont="0" applyFill="0" applyBorder="0" applyAlignment="0" applyProtection="0"/>
    <xf numFmtId="0" fontId="3" fillId="0" borderId="0" applyNumberFormat="0" applyFill="0" applyBorder="0" applyAlignment="0" applyProtection="0"/>
    <xf numFmtId="0" fontId="7" fillId="3" borderId="0" applyNumberFormat="0" applyBorder="0" applyAlignment="0" applyProtection="0"/>
  </cellStyleXfs>
  <cellXfs count="278">
    <xf numFmtId="0" fontId="0" fillId="0" borderId="0" xfId="0"/>
    <xf numFmtId="43" fontId="0" fillId="0" borderId="0" xfId="1" applyFont="1"/>
    <xf numFmtId="0" fontId="0" fillId="0" borderId="0" xfId="0" applyAlignment="1">
      <alignment horizontal="center"/>
    </xf>
    <xf numFmtId="0" fontId="2" fillId="0" borderId="0" xfId="0" applyFont="1"/>
    <xf numFmtId="0" fontId="0" fillId="0" borderId="0" xfId="0" applyAlignment="1">
      <alignment vertical="center" wrapText="1"/>
    </xf>
    <xf numFmtId="0" fontId="0" fillId="0" borderId="0" xfId="0" applyFill="1"/>
    <xf numFmtId="0" fontId="0" fillId="0" borderId="0" xfId="0" applyAlignment="1">
      <alignment wrapText="1"/>
    </xf>
    <xf numFmtId="43" fontId="0" fillId="0" borderId="0" xfId="1" applyFont="1" applyAlignment="1">
      <alignment vertical="center"/>
    </xf>
    <xf numFmtId="0" fontId="0" fillId="0" borderId="0" xfId="0" applyAlignment="1">
      <alignment vertical="center"/>
    </xf>
    <xf numFmtId="0" fontId="0" fillId="0" borderId="0" xfId="0" applyAlignment="1">
      <alignment vertical="center"/>
    </xf>
    <xf numFmtId="0" fontId="0" fillId="0" borderId="0" xfId="0" applyFill="1" applyAlignment="1">
      <alignment wrapText="1"/>
    </xf>
    <xf numFmtId="43" fontId="0" fillId="0" borderId="6" xfId="1" applyFont="1" applyFill="1" applyBorder="1" applyAlignment="1">
      <alignment horizontal="center"/>
    </xf>
    <xf numFmtId="0" fontId="12" fillId="0" borderId="0" xfId="0" applyFont="1"/>
    <xf numFmtId="43" fontId="2" fillId="0" borderId="0" xfId="1" applyFont="1"/>
    <xf numFmtId="43" fontId="0" fillId="0" borderId="0" xfId="1" applyFont="1" applyFill="1" applyBorder="1" applyAlignment="1">
      <alignment horizontal="center"/>
    </xf>
    <xf numFmtId="0" fontId="0" fillId="0" borderId="32" xfId="0" applyBorder="1"/>
    <xf numFmtId="0" fontId="12" fillId="4" borderId="10" xfId="0" applyFont="1" applyFill="1" applyBorder="1" applyAlignment="1">
      <alignment horizontal="center"/>
    </xf>
    <xf numFmtId="0" fontId="12" fillId="4" borderId="11" xfId="0" applyFont="1" applyFill="1" applyBorder="1" applyAlignment="1">
      <alignment horizontal="center"/>
    </xf>
    <xf numFmtId="0" fontId="12" fillId="4" borderId="12" xfId="0" applyFont="1" applyFill="1" applyBorder="1" applyAlignment="1">
      <alignment horizontal="center"/>
    </xf>
    <xf numFmtId="0" fontId="12" fillId="4" borderId="25" xfId="0" applyFont="1" applyFill="1" applyBorder="1" applyAlignment="1">
      <alignment horizontal="center"/>
    </xf>
    <xf numFmtId="0" fontId="0" fillId="4" borderId="15" xfId="0" applyFill="1" applyBorder="1" applyAlignment="1">
      <alignment horizontal="center"/>
    </xf>
    <xf numFmtId="0" fontId="0" fillId="4" borderId="16" xfId="0" applyFill="1" applyBorder="1" applyAlignment="1">
      <alignment horizontal="center"/>
    </xf>
    <xf numFmtId="0" fontId="0" fillId="4" borderId="17" xfId="0" applyFill="1" applyBorder="1" applyAlignment="1">
      <alignment horizontal="center"/>
    </xf>
    <xf numFmtId="0" fontId="0" fillId="4" borderId="19" xfId="0" applyFill="1" applyBorder="1" applyAlignment="1">
      <alignment horizontal="center"/>
    </xf>
    <xf numFmtId="0" fontId="2" fillId="4" borderId="18" xfId="0" applyFont="1" applyFill="1" applyBorder="1"/>
    <xf numFmtId="0" fontId="2" fillId="4" borderId="19" xfId="0" applyFont="1" applyFill="1" applyBorder="1"/>
    <xf numFmtId="43" fontId="2" fillId="4" borderId="17" xfId="0" applyNumberFormat="1" applyFont="1" applyFill="1" applyBorder="1"/>
    <xf numFmtId="0" fontId="0" fillId="4" borderId="35" xfId="0" applyFill="1" applyBorder="1"/>
    <xf numFmtId="0" fontId="13" fillId="4" borderId="37" xfId="0" applyFont="1" applyFill="1" applyBorder="1" applyAlignment="1">
      <alignment horizontal="right"/>
    </xf>
    <xf numFmtId="0" fontId="0" fillId="4" borderId="37" xfId="0" applyFill="1" applyBorder="1"/>
    <xf numFmtId="43" fontId="2" fillId="4" borderId="9" xfId="1" applyFont="1" applyFill="1" applyBorder="1"/>
    <xf numFmtId="0" fontId="2" fillId="4" borderId="36" xfId="0" applyFont="1" applyFill="1" applyBorder="1" applyAlignment="1">
      <alignment horizontal="right"/>
    </xf>
    <xf numFmtId="0" fontId="0" fillId="5" borderId="13" xfId="0" applyFill="1" applyBorder="1" applyAlignment="1">
      <alignment horizontal="right"/>
    </xf>
    <xf numFmtId="0" fontId="0" fillId="5" borderId="1" xfId="0" applyFill="1" applyBorder="1"/>
    <xf numFmtId="43" fontId="0" fillId="5" borderId="14" xfId="0" applyNumberFormat="1" applyFill="1" applyBorder="1"/>
    <xf numFmtId="0" fontId="0" fillId="5" borderId="13" xfId="0" applyFill="1" applyBorder="1"/>
    <xf numFmtId="0" fontId="0" fillId="5" borderId="14" xfId="0" applyFill="1" applyBorder="1"/>
    <xf numFmtId="0" fontId="0" fillId="5" borderId="39" xfId="0" applyFill="1" applyBorder="1"/>
    <xf numFmtId="0" fontId="4" fillId="5" borderId="38" xfId="0" applyFont="1" applyFill="1" applyBorder="1" applyAlignment="1">
      <alignment horizontal="center"/>
    </xf>
    <xf numFmtId="0" fontId="4" fillId="5" borderId="40" xfId="0" applyFont="1" applyFill="1" applyBorder="1" applyAlignment="1">
      <alignment horizontal="center"/>
    </xf>
    <xf numFmtId="0" fontId="4" fillId="5" borderId="39" xfId="0" applyFont="1" applyFill="1" applyBorder="1" applyAlignment="1">
      <alignment horizontal="center"/>
    </xf>
    <xf numFmtId="0" fontId="4" fillId="5" borderId="8" xfId="0" applyFont="1" applyFill="1" applyBorder="1" applyAlignment="1">
      <alignment horizontal="center"/>
    </xf>
    <xf numFmtId="0" fontId="2" fillId="5" borderId="7" xfId="0" applyFont="1" applyFill="1" applyBorder="1" applyAlignment="1">
      <alignment horizontal="center"/>
    </xf>
    <xf numFmtId="43" fontId="0" fillId="5" borderId="41" xfId="1" applyFont="1" applyFill="1" applyBorder="1"/>
    <xf numFmtId="0" fontId="4" fillId="5" borderId="13" xfId="0" applyFont="1" applyFill="1" applyBorder="1" applyAlignment="1">
      <alignment horizontal="center"/>
    </xf>
    <xf numFmtId="0" fontId="4" fillId="5" borderId="1" xfId="0" applyFont="1" applyFill="1" applyBorder="1" applyAlignment="1">
      <alignment horizontal="center"/>
    </xf>
    <xf numFmtId="0" fontId="4" fillId="5" borderId="14" xfId="0" applyFont="1" applyFill="1" applyBorder="1" applyAlignment="1">
      <alignment horizontal="center"/>
    </xf>
    <xf numFmtId="0" fontId="4" fillId="5" borderId="3" xfId="0" applyFont="1" applyFill="1" applyBorder="1" applyAlignment="1">
      <alignment horizontal="center"/>
    </xf>
    <xf numFmtId="0" fontId="2" fillId="5" borderId="2" xfId="0" applyFont="1" applyFill="1" applyBorder="1" applyAlignment="1">
      <alignment horizontal="center"/>
    </xf>
    <xf numFmtId="43" fontId="0" fillId="5" borderId="28" xfId="1" applyFont="1" applyFill="1" applyBorder="1"/>
    <xf numFmtId="0" fontId="0" fillId="5" borderId="32" xfId="0" applyFill="1" applyBorder="1"/>
    <xf numFmtId="0" fontId="4" fillId="5" borderId="31" xfId="0" applyFont="1" applyFill="1" applyBorder="1" applyAlignment="1">
      <alignment horizontal="center"/>
    </xf>
    <xf numFmtId="0" fontId="4" fillId="5" borderId="33" xfId="0" applyFont="1" applyFill="1" applyBorder="1" applyAlignment="1">
      <alignment horizontal="center"/>
    </xf>
    <xf numFmtId="0" fontId="4" fillId="5" borderId="32" xfId="0" applyFont="1" applyFill="1" applyBorder="1" applyAlignment="1">
      <alignment horizontal="center"/>
    </xf>
    <xf numFmtId="0" fontId="4" fillId="5" borderId="5" xfId="0" applyFont="1" applyFill="1" applyBorder="1" applyAlignment="1">
      <alignment horizontal="center"/>
    </xf>
    <xf numFmtId="0" fontId="2" fillId="5" borderId="4" xfId="0" applyFont="1" applyFill="1" applyBorder="1" applyAlignment="1">
      <alignment horizontal="center"/>
    </xf>
    <xf numFmtId="43" fontId="0" fillId="5" borderId="34" xfId="1" applyFont="1" applyFill="1" applyBorder="1"/>
    <xf numFmtId="0" fontId="0" fillId="0" borderId="0" xfId="0" applyAlignment="1">
      <alignment horizontal="center" vertical="center" wrapText="1"/>
    </xf>
    <xf numFmtId="0" fontId="0" fillId="4" borderId="43" xfId="0" applyFill="1" applyBorder="1" applyAlignment="1">
      <alignment horizontal="center" vertical="center" wrapText="1"/>
    </xf>
    <xf numFmtId="0" fontId="0" fillId="4" borderId="44" xfId="0" applyFill="1" applyBorder="1" applyAlignment="1">
      <alignment horizontal="center" vertical="center" wrapText="1"/>
    </xf>
    <xf numFmtId="0" fontId="0" fillId="4" borderId="45" xfId="0" applyFill="1" applyBorder="1" applyAlignment="1">
      <alignment horizontal="center" vertical="center" wrapText="1"/>
    </xf>
    <xf numFmtId="0" fontId="0" fillId="5" borderId="40" xfId="0" applyFill="1" applyBorder="1" applyAlignment="1">
      <alignment vertical="center"/>
    </xf>
    <xf numFmtId="0" fontId="0" fillId="5" borderId="1" xfId="0" applyFill="1" applyBorder="1" applyAlignment="1">
      <alignment vertical="center"/>
    </xf>
    <xf numFmtId="0" fontId="0" fillId="5" borderId="14" xfId="0" applyFill="1" applyBorder="1" applyAlignment="1">
      <alignment wrapText="1"/>
    </xf>
    <xf numFmtId="0" fontId="0" fillId="5" borderId="16" xfId="0" applyFill="1" applyBorder="1" applyAlignment="1">
      <alignment vertical="center"/>
    </xf>
    <xf numFmtId="0" fontId="0" fillId="5" borderId="17" xfId="0" applyFill="1" applyBorder="1" applyAlignment="1">
      <alignment wrapText="1"/>
    </xf>
    <xf numFmtId="0" fontId="9" fillId="4" borderId="10" xfId="0" applyFont="1" applyFill="1" applyBorder="1" applyAlignment="1">
      <alignment horizontal="right" vertical="center"/>
    </xf>
    <xf numFmtId="0" fontId="9" fillId="4" borderId="15" xfId="0" applyFont="1" applyFill="1" applyBorder="1" applyAlignment="1">
      <alignment horizontal="right" vertical="center"/>
    </xf>
    <xf numFmtId="0" fontId="0" fillId="5" borderId="48" xfId="0" applyFill="1" applyBorder="1"/>
    <xf numFmtId="0" fontId="0" fillId="5" borderId="49" xfId="0" applyFill="1" applyBorder="1" applyAlignment="1">
      <alignment wrapText="1"/>
    </xf>
    <xf numFmtId="0" fontId="2" fillId="5" borderId="47" xfId="0" applyFont="1" applyFill="1" applyBorder="1"/>
    <xf numFmtId="43" fontId="9" fillId="5" borderId="12" xfId="1" applyFont="1" applyFill="1" applyBorder="1"/>
    <xf numFmtId="43" fontId="9" fillId="5" borderId="17" xfId="1" applyFont="1" applyFill="1" applyBorder="1"/>
    <xf numFmtId="0" fontId="0" fillId="5" borderId="38" xfId="0" applyFill="1" applyBorder="1" applyAlignment="1">
      <alignment horizontal="right" vertical="center"/>
    </xf>
    <xf numFmtId="10" fontId="0" fillId="5" borderId="40" xfId="2" applyNumberFormat="1" applyFont="1" applyFill="1" applyBorder="1" applyAlignment="1">
      <alignment vertical="center"/>
    </xf>
    <xf numFmtId="0" fontId="0" fillId="5" borderId="13" xfId="0" applyFill="1" applyBorder="1" applyAlignment="1">
      <alignment horizontal="right" vertical="center"/>
    </xf>
    <xf numFmtId="10" fontId="0" fillId="5" borderId="1" xfId="2" applyNumberFormat="1" applyFont="1" applyFill="1" applyBorder="1" applyAlignment="1">
      <alignment vertical="center"/>
    </xf>
    <xf numFmtId="0" fontId="0" fillId="5" borderId="15" xfId="0" applyFill="1" applyBorder="1" applyAlignment="1">
      <alignment horizontal="right" vertical="center"/>
    </xf>
    <xf numFmtId="10" fontId="0" fillId="5" borderId="16" xfId="2" applyNumberFormat="1" applyFont="1" applyFill="1" applyBorder="1" applyAlignment="1">
      <alignment vertical="center"/>
    </xf>
    <xf numFmtId="10" fontId="0" fillId="0" borderId="0" xfId="0" applyNumberFormat="1"/>
    <xf numFmtId="0" fontId="12" fillId="5" borderId="10" xfId="0" applyFont="1" applyFill="1" applyBorder="1" applyAlignment="1">
      <alignment horizontal="right" vertical="center"/>
    </xf>
    <xf numFmtId="0" fontId="12" fillId="5" borderId="11" xfId="0" applyFont="1" applyFill="1" applyBorder="1" applyAlignment="1">
      <alignment vertical="center"/>
    </xf>
    <xf numFmtId="10" fontId="12" fillId="5" borderId="11" xfId="2" applyNumberFormat="1" applyFont="1" applyFill="1" applyBorder="1" applyAlignment="1">
      <alignment vertical="center"/>
    </xf>
    <xf numFmtId="0" fontId="12" fillId="5" borderId="13" xfId="0" applyFont="1" applyFill="1" applyBorder="1" applyAlignment="1">
      <alignment horizontal="right" vertical="center"/>
    </xf>
    <xf numFmtId="0" fontId="12" fillId="5" borderId="1" xfId="0" applyFont="1" applyFill="1" applyBorder="1" applyAlignment="1">
      <alignment vertical="center"/>
    </xf>
    <xf numFmtId="10" fontId="12" fillId="5" borderId="1" xfId="2" applyNumberFormat="1" applyFont="1" applyFill="1" applyBorder="1" applyAlignment="1">
      <alignment vertical="center"/>
    </xf>
    <xf numFmtId="0" fontId="12" fillId="5" borderId="15" xfId="0" applyFont="1" applyFill="1" applyBorder="1" applyAlignment="1">
      <alignment horizontal="right" vertical="center"/>
    </xf>
    <xf numFmtId="0" fontId="12" fillId="5" borderId="16" xfId="0" applyFont="1" applyFill="1" applyBorder="1" applyAlignment="1">
      <alignment vertical="center"/>
    </xf>
    <xf numFmtId="10" fontId="12" fillId="5" borderId="16" xfId="2" applyNumberFormat="1" applyFont="1" applyFill="1" applyBorder="1" applyAlignment="1">
      <alignment vertical="center"/>
    </xf>
    <xf numFmtId="0" fontId="10" fillId="5" borderId="39" xfId="0" applyFont="1" applyFill="1" applyBorder="1" applyAlignment="1">
      <alignment wrapText="1"/>
    </xf>
    <xf numFmtId="0" fontId="0" fillId="0" borderId="33" xfId="0" applyBorder="1" applyAlignment="1">
      <alignment wrapText="1"/>
    </xf>
    <xf numFmtId="0" fontId="0" fillId="0" borderId="33" xfId="0" applyBorder="1"/>
    <xf numFmtId="0" fontId="0" fillId="0" borderId="57" xfId="0" applyBorder="1"/>
    <xf numFmtId="0" fontId="0" fillId="0" borderId="5" xfId="0" applyBorder="1"/>
    <xf numFmtId="0" fontId="0" fillId="0" borderId="31" xfId="0" applyBorder="1" applyAlignment="1">
      <alignment wrapText="1"/>
    </xf>
    <xf numFmtId="0" fontId="0" fillId="4" borderId="35" xfId="0" applyFill="1" applyBorder="1" applyAlignment="1">
      <alignment vertical="center" textRotation="90" wrapText="1"/>
    </xf>
    <xf numFmtId="0" fontId="0" fillId="4" borderId="43" xfId="0" applyFill="1" applyBorder="1" applyAlignment="1">
      <alignment vertical="center" wrapText="1"/>
    </xf>
    <xf numFmtId="0" fontId="0" fillId="4" borderId="59" xfId="0" applyFill="1" applyBorder="1" applyAlignment="1">
      <alignment horizontal="left" vertical="center" wrapText="1"/>
    </xf>
    <xf numFmtId="0" fontId="0" fillId="4" borderId="58" xfId="0" applyFont="1" applyFill="1" applyBorder="1" applyAlignment="1">
      <alignment horizontal="center" vertical="center" textRotation="90" wrapText="1"/>
    </xf>
    <xf numFmtId="0" fontId="0" fillId="4" borderId="44" xfId="0" applyFont="1" applyFill="1" applyBorder="1" applyAlignment="1">
      <alignment horizontal="center" vertical="center" textRotation="90" wrapText="1"/>
    </xf>
    <xf numFmtId="0" fontId="12" fillId="5" borderId="56" xfId="0" applyFont="1" applyFill="1" applyBorder="1" applyAlignment="1">
      <alignment vertical="center" wrapText="1"/>
    </xf>
    <xf numFmtId="0" fontId="15" fillId="5" borderId="13" xfId="0" applyFont="1" applyFill="1" applyBorder="1" applyAlignment="1">
      <alignment wrapText="1"/>
    </xf>
    <xf numFmtId="0" fontId="15" fillId="5" borderId="14" xfId="0" applyFont="1" applyFill="1" applyBorder="1" applyAlignment="1">
      <alignment horizontal="center"/>
    </xf>
    <xf numFmtId="0" fontId="15" fillId="5" borderId="3" xfId="0" applyFont="1" applyFill="1" applyBorder="1" applyAlignment="1">
      <alignment horizontal="right"/>
    </xf>
    <xf numFmtId="0" fontId="15" fillId="5" borderId="1" xfId="0" applyFont="1" applyFill="1" applyBorder="1" applyAlignment="1">
      <alignment horizontal="right"/>
    </xf>
    <xf numFmtId="0" fontId="12" fillId="5" borderId="1" xfId="0" applyFont="1" applyFill="1" applyBorder="1" applyAlignment="1">
      <alignment horizontal="center" vertical="center" wrapText="1"/>
    </xf>
    <xf numFmtId="0" fontId="0" fillId="5" borderId="56" xfId="0" applyFill="1" applyBorder="1"/>
    <xf numFmtId="0" fontId="0" fillId="5" borderId="13" xfId="0" applyFill="1" applyBorder="1" applyAlignment="1">
      <alignment wrapText="1"/>
    </xf>
    <xf numFmtId="0" fontId="0" fillId="5" borderId="3" xfId="0" applyFill="1" applyBorder="1"/>
    <xf numFmtId="0" fontId="0" fillId="5" borderId="1" xfId="0" applyFill="1" applyBorder="1" applyAlignment="1">
      <alignment wrapText="1"/>
    </xf>
    <xf numFmtId="43" fontId="0" fillId="5" borderId="14" xfId="1" applyFont="1" applyFill="1" applyBorder="1"/>
    <xf numFmtId="0" fontId="5" fillId="5" borderId="13" xfId="0" applyFont="1" applyFill="1" applyBorder="1" applyAlignment="1">
      <alignment wrapText="1"/>
    </xf>
    <xf numFmtId="0" fontId="5" fillId="5" borderId="14" xfId="0" applyFont="1" applyFill="1" applyBorder="1"/>
    <xf numFmtId="4" fontId="0" fillId="5" borderId="1" xfId="0" applyNumberFormat="1" applyFill="1" applyBorder="1"/>
    <xf numFmtId="2" fontId="0" fillId="5" borderId="1" xfId="0" applyNumberFormat="1" applyFill="1" applyBorder="1"/>
    <xf numFmtId="164" fontId="0" fillId="5" borderId="1" xfId="1" applyNumberFormat="1" applyFont="1" applyFill="1" applyBorder="1"/>
    <xf numFmtId="43" fontId="0" fillId="5" borderId="1" xfId="1" applyFont="1" applyFill="1" applyBorder="1"/>
    <xf numFmtId="1" fontId="0" fillId="5" borderId="3" xfId="0" applyNumberFormat="1" applyFill="1" applyBorder="1"/>
    <xf numFmtId="1" fontId="0" fillId="5" borderId="1" xfId="0" applyNumberFormat="1" applyFill="1" applyBorder="1"/>
    <xf numFmtId="0" fontId="5" fillId="2" borderId="60" xfId="0" applyFont="1" applyFill="1" applyBorder="1" applyAlignment="1">
      <alignment wrapText="1"/>
    </xf>
    <xf numFmtId="0" fontId="0" fillId="2" borderId="60" xfId="0" applyFill="1" applyBorder="1" applyAlignment="1">
      <alignment horizontal="center"/>
    </xf>
    <xf numFmtId="0" fontId="0" fillId="2" borderId="60" xfId="0" applyFill="1" applyBorder="1" applyAlignment="1">
      <alignment horizontal="center" wrapText="1"/>
    </xf>
    <xf numFmtId="0" fontId="0" fillId="4" borderId="45" xfId="0" applyFill="1" applyBorder="1"/>
    <xf numFmtId="0" fontId="0" fillId="4" borderId="44" xfId="0" applyFill="1" applyBorder="1"/>
    <xf numFmtId="0" fontId="0" fillId="4" borderId="44" xfId="0" applyFill="1" applyBorder="1" applyAlignment="1">
      <alignment wrapText="1"/>
    </xf>
    <xf numFmtId="0" fontId="0" fillId="2" borderId="27" xfId="0" applyFill="1" applyBorder="1" applyAlignment="1">
      <alignment horizontal="center"/>
    </xf>
    <xf numFmtId="0" fontId="12" fillId="5" borderId="2" xfId="0" applyFont="1" applyFill="1" applyBorder="1" applyAlignment="1">
      <alignment horizontal="center" vertical="center" wrapText="1"/>
    </xf>
    <xf numFmtId="43" fontId="0" fillId="5" borderId="2" xfId="0" applyNumberFormat="1" applyFill="1" applyBorder="1"/>
    <xf numFmtId="0" fontId="0" fillId="0" borderId="4" xfId="0" applyBorder="1"/>
    <xf numFmtId="0" fontId="0" fillId="4" borderId="61" xfId="0" applyFill="1" applyBorder="1"/>
    <xf numFmtId="43" fontId="2" fillId="4" borderId="27" xfId="1" applyFont="1" applyFill="1" applyBorder="1" applyAlignment="1">
      <alignment horizontal="center"/>
    </xf>
    <xf numFmtId="43" fontId="13" fillId="4" borderId="28" xfId="1" applyFont="1" applyFill="1" applyBorder="1" applyAlignment="1">
      <alignment horizontal="center" vertical="center" wrapText="1"/>
    </xf>
    <xf numFmtId="43" fontId="2" fillId="4" borderId="28" xfId="1" applyFont="1" applyFill="1" applyBorder="1"/>
    <xf numFmtId="43" fontId="2" fillId="4" borderId="34" xfId="1" applyFont="1" applyFill="1" applyBorder="1"/>
    <xf numFmtId="43" fontId="2" fillId="4" borderId="58" xfId="1" applyFont="1" applyFill="1" applyBorder="1"/>
    <xf numFmtId="43" fontId="2" fillId="4" borderId="44" xfId="1" applyFont="1" applyFill="1" applyBorder="1"/>
    <xf numFmtId="0" fontId="2" fillId="4" borderId="43" xfId="0" applyFont="1" applyFill="1" applyBorder="1" applyAlignment="1">
      <alignment wrapText="1"/>
    </xf>
    <xf numFmtId="165" fontId="0" fillId="5" borderId="1" xfId="1" applyNumberFormat="1" applyFont="1" applyFill="1" applyBorder="1"/>
    <xf numFmtId="0" fontId="0" fillId="5" borderId="2" xfId="0" applyFill="1" applyBorder="1"/>
    <xf numFmtId="0" fontId="0" fillId="4" borderId="61" xfId="0" applyFont="1" applyFill="1" applyBorder="1" applyAlignment="1">
      <alignment horizontal="center" vertical="center" textRotation="90" wrapText="1"/>
    </xf>
    <xf numFmtId="43" fontId="2" fillId="4" borderId="9" xfId="1" applyFont="1" applyFill="1" applyBorder="1" applyAlignment="1">
      <alignment horizontal="center" vertical="center" textRotation="90" wrapText="1"/>
    </xf>
    <xf numFmtId="166" fontId="0" fillId="0" borderId="0" xfId="1" applyNumberFormat="1" applyFont="1"/>
    <xf numFmtId="166" fontId="0" fillId="4" borderId="44" xfId="1" applyNumberFormat="1" applyFont="1" applyFill="1" applyBorder="1" applyAlignment="1">
      <alignment horizontal="center" vertical="center" textRotation="90" wrapText="1"/>
    </xf>
    <xf numFmtId="166" fontId="0" fillId="2" borderId="60" xfId="1" applyNumberFormat="1" applyFont="1" applyFill="1" applyBorder="1" applyAlignment="1">
      <alignment horizontal="center"/>
    </xf>
    <xf numFmtId="166" fontId="12" fillId="5" borderId="1" xfId="1" applyNumberFormat="1" applyFont="1" applyFill="1" applyBorder="1" applyAlignment="1">
      <alignment horizontal="center" vertical="center" wrapText="1"/>
    </xf>
    <xf numFmtId="166" fontId="0" fillId="5" borderId="1" xfId="1" applyNumberFormat="1" applyFont="1" applyFill="1" applyBorder="1"/>
    <xf numFmtId="166" fontId="0" fillId="0" borderId="33" xfId="1" applyNumberFormat="1" applyFont="1" applyBorder="1"/>
    <xf numFmtId="166" fontId="0" fillId="4" borderId="44" xfId="1" applyNumberFormat="1" applyFont="1" applyFill="1" applyBorder="1"/>
    <xf numFmtId="0" fontId="0" fillId="5" borderId="0" xfId="0" applyFill="1"/>
    <xf numFmtId="0" fontId="0" fillId="5" borderId="0" xfId="0" applyFill="1" applyAlignment="1">
      <alignment wrapText="1"/>
    </xf>
    <xf numFmtId="166" fontId="0" fillId="5" borderId="0" xfId="1" applyNumberFormat="1" applyFont="1" applyFill="1"/>
    <xf numFmtId="0" fontId="9" fillId="4" borderId="0" xfId="0" applyFont="1" applyFill="1" applyAlignment="1">
      <alignment vertical="center" wrapText="1"/>
    </xf>
    <xf numFmtId="0" fontId="9" fillId="0" borderId="0" xfId="0" applyFont="1" applyFill="1" applyAlignment="1">
      <alignment vertical="center" wrapText="1"/>
    </xf>
    <xf numFmtId="43" fontId="2" fillId="0" borderId="0" xfId="1" applyFont="1" applyFill="1"/>
    <xf numFmtId="166" fontId="0" fillId="0" borderId="0" xfId="1" applyNumberFormat="1" applyFont="1" applyFill="1"/>
    <xf numFmtId="0" fontId="0" fillId="5" borderId="38" xfId="0" applyFill="1" applyBorder="1" applyAlignment="1">
      <alignment horizontal="center"/>
    </xf>
    <xf numFmtId="0" fontId="0" fillId="5" borderId="13" xfId="0" applyFill="1" applyBorder="1" applyAlignment="1">
      <alignment horizontal="center"/>
    </xf>
    <xf numFmtId="0" fontId="0" fillId="5" borderId="31" xfId="0" applyFill="1" applyBorder="1" applyAlignment="1">
      <alignment horizontal="center"/>
    </xf>
    <xf numFmtId="0" fontId="11" fillId="0" borderId="0" xfId="0" applyFont="1" applyAlignment="1"/>
    <xf numFmtId="0" fontId="2" fillId="0" borderId="0" xfId="0" applyFont="1" applyAlignment="1">
      <alignment vertical="top" wrapText="1"/>
    </xf>
    <xf numFmtId="0" fontId="2" fillId="0" borderId="57" xfId="0" applyFont="1" applyFill="1" applyBorder="1" applyAlignment="1">
      <alignment horizontal="right" vertical="center" wrapText="1"/>
    </xf>
    <xf numFmtId="0" fontId="2" fillId="0" borderId="46" xfId="0" applyFont="1" applyFill="1" applyBorder="1" applyAlignment="1">
      <alignment horizontal="right" vertical="center" wrapText="1"/>
    </xf>
    <xf numFmtId="0" fontId="2" fillId="0" borderId="22" xfId="0" applyFont="1" applyFill="1" applyBorder="1" applyAlignment="1">
      <alignment horizontal="right" vertical="center" wrapText="1"/>
    </xf>
    <xf numFmtId="0" fontId="2" fillId="0" borderId="46" xfId="0" applyFont="1" applyFill="1" applyBorder="1" applyAlignment="1">
      <alignment horizontal="right" wrapText="1"/>
    </xf>
    <xf numFmtId="0" fontId="0" fillId="0" borderId="0" xfId="0" applyFill="1" applyBorder="1" applyAlignment="1">
      <alignment horizontal="left"/>
    </xf>
    <xf numFmtId="0" fontId="0" fillId="0" borderId="0" xfId="0" applyFill="1" applyBorder="1"/>
    <xf numFmtId="0" fontId="0" fillId="0" borderId="21" xfId="0" applyFill="1" applyBorder="1"/>
    <xf numFmtId="0" fontId="2" fillId="0" borderId="22" xfId="0" applyFont="1" applyFill="1" applyBorder="1" applyAlignment="1">
      <alignment horizontal="right" wrapText="1"/>
    </xf>
    <xf numFmtId="167" fontId="0" fillId="0" borderId="23" xfId="0" applyNumberFormat="1" applyFill="1" applyBorder="1" applyAlignment="1">
      <alignment horizontal="left"/>
    </xf>
    <xf numFmtId="0" fontId="0" fillId="0" borderId="23" xfId="0" applyFill="1" applyBorder="1"/>
    <xf numFmtId="0" fontId="0" fillId="0" borderId="24" xfId="0" applyFill="1" applyBorder="1"/>
    <xf numFmtId="0" fontId="8" fillId="4" borderId="10" xfId="0" applyFont="1" applyFill="1" applyBorder="1" applyAlignment="1">
      <alignment horizontal="center" vertical="center"/>
    </xf>
    <xf numFmtId="0" fontId="8" fillId="4" borderId="11" xfId="0" applyFont="1" applyFill="1" applyBorder="1" applyAlignment="1">
      <alignment horizontal="center" vertical="center"/>
    </xf>
    <xf numFmtId="0" fontId="8" fillId="4" borderId="12" xfId="0" applyFont="1" applyFill="1" applyBorder="1" applyAlignment="1">
      <alignment horizontal="center" vertical="center" wrapText="1"/>
    </xf>
    <xf numFmtId="0" fontId="0" fillId="0" borderId="46" xfId="0" applyFill="1" applyBorder="1"/>
    <xf numFmtId="0" fontId="2" fillId="0" borderId="0" xfId="0" applyFont="1" applyFill="1" applyBorder="1" applyAlignment="1">
      <alignment horizontal="right" wrapText="1"/>
    </xf>
    <xf numFmtId="0" fontId="0" fillId="0" borderId="0" xfId="0" applyFill="1" applyBorder="1" applyAlignment="1">
      <alignment wrapText="1"/>
    </xf>
    <xf numFmtId="166" fontId="0" fillId="0" borderId="0" xfId="1" applyNumberFormat="1" applyFont="1" applyFill="1" applyBorder="1"/>
    <xf numFmtId="43" fontId="2" fillId="0" borderId="21" xfId="1" applyFont="1" applyFill="1" applyBorder="1"/>
    <xf numFmtId="0" fontId="0" fillId="0" borderId="22" xfId="0" applyFill="1" applyBorder="1"/>
    <xf numFmtId="0" fontId="2" fillId="0" borderId="23" xfId="0" applyFont="1" applyFill="1" applyBorder="1" applyAlignment="1">
      <alignment horizontal="right" wrapText="1"/>
    </xf>
    <xf numFmtId="0" fontId="0" fillId="0" borderId="23" xfId="0" applyFill="1" applyBorder="1" applyAlignment="1">
      <alignment wrapText="1"/>
    </xf>
    <xf numFmtId="166" fontId="0" fillId="0" borderId="23" xfId="1" applyNumberFormat="1" applyFont="1" applyFill="1" applyBorder="1"/>
    <xf numFmtId="43" fontId="2" fillId="0" borderId="24" xfId="1" applyFont="1" applyFill="1" applyBorder="1"/>
    <xf numFmtId="2" fontId="10" fillId="5" borderId="1" xfId="4" applyNumberFormat="1" applyFont="1" applyFill="1" applyBorder="1"/>
    <xf numFmtId="0" fontId="10" fillId="5" borderId="1" xfId="0" applyFont="1" applyFill="1" applyBorder="1"/>
    <xf numFmtId="0" fontId="2" fillId="4" borderId="63" xfId="0" applyFont="1" applyFill="1" applyBorder="1"/>
    <xf numFmtId="10" fontId="2" fillId="4" borderId="54" xfId="2" applyNumberFormat="1" applyFont="1" applyFill="1" applyBorder="1"/>
    <xf numFmtId="0" fontId="0" fillId="2" borderId="13" xfId="0" applyFont="1" applyFill="1" applyBorder="1"/>
    <xf numFmtId="43" fontId="1" fillId="2" borderId="14" xfId="1" applyFont="1" applyFill="1" applyBorder="1"/>
    <xf numFmtId="0" fontId="0" fillId="2" borderId="31" xfId="0" applyFont="1" applyFill="1" applyBorder="1"/>
    <xf numFmtId="43" fontId="1" fillId="2" borderId="32" xfId="1" applyFont="1" applyFill="1" applyBorder="1"/>
    <xf numFmtId="0" fontId="2" fillId="4" borderId="31" xfId="0" applyFont="1" applyFill="1" applyBorder="1"/>
    <xf numFmtId="43" fontId="2" fillId="4" borderId="32" xfId="0" applyNumberFormat="1" applyFont="1" applyFill="1" applyBorder="1"/>
    <xf numFmtId="0" fontId="16" fillId="0" borderId="0" xfId="0" applyFont="1" applyFill="1" applyBorder="1" applyAlignment="1">
      <alignment wrapText="1"/>
    </xf>
    <xf numFmtId="0" fontId="18" fillId="0" borderId="0" xfId="3" applyFont="1" applyBorder="1" applyAlignment="1">
      <alignment wrapText="1"/>
    </xf>
    <xf numFmtId="0" fontId="11" fillId="0" borderId="0" xfId="0" applyFont="1" applyFill="1" applyBorder="1" applyAlignment="1"/>
    <xf numFmtId="0" fontId="16" fillId="0" borderId="0" xfId="0" applyFont="1" applyFill="1" applyBorder="1" applyAlignment="1"/>
    <xf numFmtId="0" fontId="11" fillId="0" borderId="0" xfId="0" applyFont="1" applyFill="1" applyAlignment="1">
      <alignment horizontal="center"/>
    </xf>
    <xf numFmtId="0" fontId="0" fillId="0" borderId="13" xfId="0" applyBorder="1" applyAlignment="1">
      <alignment vertical="center" wrapText="1"/>
    </xf>
    <xf numFmtId="43" fontId="0" fillId="0" borderId="1" xfId="1" applyFont="1" applyBorder="1" applyAlignment="1">
      <alignment vertical="center"/>
    </xf>
    <xf numFmtId="0" fontId="0" fillId="0" borderId="1" xfId="0" applyBorder="1" applyAlignment="1">
      <alignment vertical="center"/>
    </xf>
    <xf numFmtId="0" fontId="0" fillId="0" borderId="14" xfId="0" applyBorder="1" applyAlignment="1">
      <alignment vertical="center" wrapText="1"/>
    </xf>
    <xf numFmtId="0" fontId="0" fillId="0" borderId="17" xfId="0" applyBorder="1" applyAlignment="1">
      <alignment vertical="center" wrapText="1"/>
    </xf>
    <xf numFmtId="0" fontId="0" fillId="0" borderId="56" xfId="0" applyBorder="1" applyAlignment="1">
      <alignment vertical="center" wrapText="1"/>
    </xf>
    <xf numFmtId="43" fontId="0" fillId="0" borderId="65" xfId="1" applyFont="1" applyBorder="1" applyAlignment="1">
      <alignment vertical="center"/>
    </xf>
    <xf numFmtId="0" fontId="0" fillId="0" borderId="65" xfId="0" applyBorder="1" applyAlignment="1">
      <alignment vertical="center"/>
    </xf>
    <xf numFmtId="0" fontId="0" fillId="0" borderId="18" xfId="0" applyBorder="1" applyAlignment="1">
      <alignment vertical="center" wrapText="1"/>
    </xf>
    <xf numFmtId="43" fontId="0" fillId="0" borderId="66" xfId="1" applyFont="1" applyBorder="1" applyAlignment="1">
      <alignment vertical="center"/>
    </xf>
    <xf numFmtId="0" fontId="0" fillId="0" borderId="66" xfId="0" applyBorder="1" applyAlignment="1">
      <alignment vertical="center"/>
    </xf>
    <xf numFmtId="0" fontId="0" fillId="0" borderId="46" xfId="0" applyBorder="1" applyAlignment="1">
      <alignment vertical="center"/>
    </xf>
    <xf numFmtId="43" fontId="0" fillId="0" borderId="0" xfId="1" applyFont="1" applyBorder="1" applyAlignment="1">
      <alignment vertical="center"/>
    </xf>
    <xf numFmtId="0" fontId="0" fillId="0" borderId="0" xfId="0" applyBorder="1" applyAlignment="1">
      <alignment vertical="center"/>
    </xf>
    <xf numFmtId="0" fontId="0" fillId="0" borderId="46" xfId="0" applyBorder="1" applyAlignment="1">
      <alignment vertical="center" wrapText="1"/>
    </xf>
    <xf numFmtId="0" fontId="0" fillId="0" borderId="22" xfId="0" applyBorder="1" applyAlignment="1">
      <alignment vertical="center" wrapText="1"/>
    </xf>
    <xf numFmtId="43" fontId="0" fillId="0" borderId="23" xfId="1" applyFont="1" applyBorder="1" applyAlignment="1">
      <alignment vertical="center"/>
    </xf>
    <xf numFmtId="0" fontId="0" fillId="0" borderId="23" xfId="0" applyBorder="1" applyAlignment="1">
      <alignment vertical="center"/>
    </xf>
    <xf numFmtId="0" fontId="0" fillId="0" borderId="53" xfId="0" applyBorder="1" applyAlignment="1">
      <alignment vertical="center" wrapText="1"/>
    </xf>
    <xf numFmtId="0" fontId="0" fillId="0" borderId="54" xfId="0" applyBorder="1" applyAlignment="1">
      <alignment vertical="center" wrapText="1"/>
    </xf>
    <xf numFmtId="0" fontId="0" fillId="0" borderId="20" xfId="0" applyFill="1" applyBorder="1" applyAlignment="1">
      <alignment horizontal="left" wrapText="1"/>
    </xf>
    <xf numFmtId="0" fontId="0" fillId="0" borderId="64" xfId="0" applyFill="1" applyBorder="1" applyAlignment="1">
      <alignment horizontal="left" wrapText="1"/>
    </xf>
    <xf numFmtId="0" fontId="9" fillId="4" borderId="10" xfId="0" applyFont="1" applyFill="1" applyBorder="1" applyAlignment="1">
      <alignment horizontal="center" vertical="center" wrapText="1"/>
    </xf>
    <xf numFmtId="0" fontId="9" fillId="4" borderId="11" xfId="0" applyFont="1" applyFill="1" applyBorder="1" applyAlignment="1">
      <alignment horizontal="center" vertical="center" wrapText="1"/>
    </xf>
    <xf numFmtId="0" fontId="9" fillId="4" borderId="12" xfId="0" applyFont="1" applyFill="1" applyBorder="1" applyAlignment="1">
      <alignment horizontal="center" vertical="center" wrapText="1"/>
    </xf>
    <xf numFmtId="0" fontId="0" fillId="0" borderId="0" xfId="0" applyFill="1" applyBorder="1" applyAlignment="1">
      <alignment horizontal="left"/>
    </xf>
    <xf numFmtId="0" fontId="0" fillId="0" borderId="21" xfId="0" applyFill="1" applyBorder="1" applyAlignment="1">
      <alignment horizontal="left"/>
    </xf>
    <xf numFmtId="167" fontId="0" fillId="0" borderId="23" xfId="0" applyNumberFormat="1" applyFill="1" applyBorder="1" applyAlignment="1">
      <alignment horizontal="left"/>
    </xf>
    <xf numFmtId="167" fontId="0" fillId="0" borderId="24" xfId="0" applyNumberFormat="1" applyFill="1" applyBorder="1" applyAlignment="1">
      <alignment horizontal="left"/>
    </xf>
    <xf numFmtId="0" fontId="9" fillId="4" borderId="35" xfId="0" applyFont="1" applyFill="1" applyBorder="1" applyAlignment="1">
      <alignment horizontal="center" vertical="center" wrapText="1"/>
    </xf>
    <xf numFmtId="0" fontId="9" fillId="4" borderId="37" xfId="0" applyFont="1" applyFill="1" applyBorder="1" applyAlignment="1">
      <alignment horizontal="center" vertical="center" wrapText="1"/>
    </xf>
    <xf numFmtId="0" fontId="9" fillId="4" borderId="36" xfId="0" applyFont="1" applyFill="1" applyBorder="1" applyAlignment="1">
      <alignment horizontal="center" vertical="center" wrapText="1"/>
    </xf>
    <xf numFmtId="43" fontId="13" fillId="4" borderId="37" xfId="0" applyNumberFormat="1" applyFont="1" applyFill="1" applyBorder="1" applyAlignment="1">
      <alignment horizontal="center"/>
    </xf>
    <xf numFmtId="43" fontId="13" fillId="4" borderId="36" xfId="0" applyNumberFormat="1" applyFont="1" applyFill="1" applyBorder="1" applyAlignment="1">
      <alignment horizontal="center"/>
    </xf>
    <xf numFmtId="43" fontId="13" fillId="4" borderId="35" xfId="0" applyNumberFormat="1" applyFont="1" applyFill="1" applyBorder="1" applyAlignment="1">
      <alignment horizontal="center"/>
    </xf>
    <xf numFmtId="0" fontId="0" fillId="4" borderId="12" xfId="0" applyFill="1" applyBorder="1" applyAlignment="1">
      <alignment horizontal="center"/>
    </xf>
    <xf numFmtId="0" fontId="0" fillId="4" borderId="17" xfId="0" applyFill="1" applyBorder="1" applyAlignment="1">
      <alignment horizontal="center"/>
    </xf>
    <xf numFmtId="0" fontId="2" fillId="4" borderId="26" xfId="0" applyFont="1" applyFill="1" applyBorder="1" applyAlignment="1">
      <alignment horizontal="center" wrapText="1"/>
    </xf>
    <xf numFmtId="0" fontId="2" fillId="4" borderId="42" xfId="0" applyFont="1" applyFill="1" applyBorder="1" applyAlignment="1">
      <alignment horizontal="center" wrapText="1"/>
    </xf>
    <xf numFmtId="0" fontId="0" fillId="4" borderId="10" xfId="0" applyFill="1" applyBorder="1" applyAlignment="1">
      <alignment horizontal="center"/>
    </xf>
    <xf numFmtId="0" fontId="0" fillId="4" borderId="15" xfId="0" applyFill="1" applyBorder="1" applyAlignment="1">
      <alignment horizontal="center"/>
    </xf>
    <xf numFmtId="0" fontId="2" fillId="4" borderId="27" xfId="0" applyFont="1" applyFill="1" applyBorder="1" applyAlignment="1">
      <alignment horizontal="center" wrapText="1"/>
    </xf>
    <xf numFmtId="0" fontId="2" fillId="4" borderId="29" xfId="0" applyFont="1" applyFill="1" applyBorder="1" applyAlignment="1">
      <alignment horizontal="center" wrapText="1"/>
    </xf>
    <xf numFmtId="0" fontId="0" fillId="0" borderId="0" xfId="0" applyFill="1" applyBorder="1" applyAlignment="1">
      <alignment horizontal="left" wrapText="1"/>
    </xf>
    <xf numFmtId="0" fontId="0" fillId="0" borderId="21" xfId="0" applyFill="1" applyBorder="1" applyAlignment="1">
      <alignment horizontal="left" wrapText="1"/>
    </xf>
    <xf numFmtId="0" fontId="9" fillId="4" borderId="35" xfId="0" applyFont="1" applyFill="1" applyBorder="1" applyAlignment="1">
      <alignment horizontal="center"/>
    </xf>
    <xf numFmtId="0" fontId="9" fillId="4" borderId="37" xfId="0" applyFont="1" applyFill="1" applyBorder="1" applyAlignment="1">
      <alignment horizontal="center"/>
    </xf>
    <xf numFmtId="0" fontId="9" fillId="4" borderId="36" xfId="0" applyFont="1" applyFill="1" applyBorder="1" applyAlignment="1">
      <alignment horizontal="center"/>
    </xf>
    <xf numFmtId="0" fontId="14" fillId="0" borderId="0" xfId="0" applyFont="1" applyAlignment="1">
      <alignment horizontal="center" wrapText="1"/>
    </xf>
    <xf numFmtId="0" fontId="0" fillId="5" borderId="50" xfId="0" applyFill="1" applyBorder="1" applyAlignment="1">
      <alignment horizontal="center" wrapText="1"/>
    </xf>
    <xf numFmtId="0" fontId="0" fillId="5" borderId="51" xfId="0" applyFill="1" applyBorder="1" applyAlignment="1">
      <alignment horizontal="center" wrapText="1"/>
    </xf>
    <xf numFmtId="0" fontId="0" fillId="5" borderId="18" xfId="0" applyFill="1" applyBorder="1" applyAlignment="1">
      <alignment horizontal="center" wrapText="1"/>
    </xf>
    <xf numFmtId="0" fontId="0" fillId="5" borderId="30" xfId="0" applyFill="1" applyBorder="1" applyAlignment="1">
      <alignment horizontal="center" wrapText="1"/>
    </xf>
    <xf numFmtId="0" fontId="0" fillId="5" borderId="22" xfId="0" applyFill="1" applyBorder="1" applyAlignment="1">
      <alignment horizontal="left" vertical="top" wrapText="1"/>
    </xf>
    <xf numFmtId="0" fontId="0" fillId="5" borderId="23" xfId="0" applyFill="1" applyBorder="1" applyAlignment="1">
      <alignment horizontal="left" vertical="top" wrapText="1"/>
    </xf>
    <xf numFmtId="0" fontId="0" fillId="5" borderId="24" xfId="0" applyFill="1" applyBorder="1" applyAlignment="1">
      <alignment horizontal="left" vertical="top" wrapText="1"/>
    </xf>
    <xf numFmtId="0" fontId="12" fillId="5" borderId="52" xfId="0" applyFont="1" applyFill="1" applyBorder="1" applyAlignment="1">
      <alignment horizontal="center" wrapText="1"/>
    </xf>
    <xf numFmtId="0" fontId="12" fillId="5" borderId="53" xfId="0" applyFont="1" applyFill="1" applyBorder="1" applyAlignment="1">
      <alignment horizontal="center" wrapText="1"/>
    </xf>
    <xf numFmtId="0" fontId="12" fillId="5" borderId="54" xfId="0" applyFont="1" applyFill="1" applyBorder="1" applyAlignment="1">
      <alignment horizontal="center" wrapText="1"/>
    </xf>
    <xf numFmtId="0" fontId="0" fillId="0" borderId="0" xfId="0" applyAlignment="1">
      <alignment horizontal="center" wrapText="1"/>
    </xf>
    <xf numFmtId="0" fontId="11" fillId="4" borderId="0" xfId="0" applyFont="1" applyFill="1" applyAlignment="1">
      <alignment horizontal="center"/>
    </xf>
    <xf numFmtId="0" fontId="2" fillId="2" borderId="10" xfId="0" applyFont="1" applyFill="1" applyBorder="1" applyAlignment="1">
      <alignment horizontal="center" vertical="center"/>
    </xf>
    <xf numFmtId="0" fontId="2" fillId="2" borderId="11"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50"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51" xfId="0" applyFont="1" applyFill="1" applyBorder="1" applyAlignment="1">
      <alignment horizontal="center" vertical="center"/>
    </xf>
    <xf numFmtId="0" fontId="16" fillId="2" borderId="55" xfId="0" applyFont="1" applyFill="1" applyBorder="1" applyAlignment="1">
      <alignment horizontal="left"/>
    </xf>
    <xf numFmtId="0" fontId="11" fillId="0" borderId="0" xfId="0" applyFont="1" applyAlignment="1">
      <alignment horizontal="center"/>
    </xf>
    <xf numFmtId="0" fontId="18" fillId="0" borderId="62" xfId="3" applyFont="1" applyFill="1" applyBorder="1" applyAlignment="1">
      <alignment horizontal="left"/>
    </xf>
    <xf numFmtId="0" fontId="19" fillId="0" borderId="62" xfId="0" applyFont="1" applyFill="1" applyBorder="1" applyAlignment="1">
      <alignment horizontal="left"/>
    </xf>
    <xf numFmtId="0" fontId="18" fillId="0" borderId="62" xfId="3" applyFont="1" applyBorder="1" applyAlignment="1">
      <alignment horizontal="left"/>
    </xf>
    <xf numFmtId="0" fontId="12" fillId="0" borderId="62" xfId="0" applyFont="1" applyBorder="1" applyAlignment="1">
      <alignment horizontal="left"/>
    </xf>
    <xf numFmtId="0" fontId="20" fillId="0" borderId="62" xfId="3" applyFont="1" applyBorder="1" applyAlignment="1">
      <alignment horizontal="left" wrapText="1"/>
    </xf>
    <xf numFmtId="0" fontId="6" fillId="0" borderId="62" xfId="0" applyFont="1" applyBorder="1" applyAlignment="1">
      <alignment horizontal="left" wrapText="1"/>
    </xf>
    <xf numFmtId="0" fontId="2" fillId="4" borderId="10" xfId="0" applyFont="1" applyFill="1" applyBorder="1" applyAlignment="1">
      <alignment horizontal="center" vertical="top" wrapText="1"/>
    </xf>
    <xf numFmtId="0" fontId="2" fillId="4" borderId="12" xfId="0" applyFont="1" applyFill="1" applyBorder="1" applyAlignment="1">
      <alignment horizontal="center" vertical="top" wrapText="1"/>
    </xf>
    <xf numFmtId="0" fontId="16" fillId="0" borderId="55" xfId="0" applyFont="1" applyFill="1" applyBorder="1" applyAlignment="1">
      <alignment horizontal="center" wrapText="1"/>
    </xf>
    <xf numFmtId="0" fontId="18" fillId="0" borderId="62" xfId="3" applyFont="1" applyBorder="1" applyAlignment="1">
      <alignment horizontal="left" wrapText="1"/>
    </xf>
  </cellXfs>
  <cellStyles count="5">
    <cellStyle name="Bom" xfId="4" builtinId="26"/>
    <cellStyle name="Hiperlink" xfId="3" builtinId="8"/>
    <cellStyle name="Normal" xfId="0" builtinId="0"/>
    <cellStyle name="Porcentagem" xfId="2" builtinId="5"/>
    <cellStyle name="Vírgula" xfId="1" builtinId="3"/>
  </cellStyles>
  <dxfs count="2">
    <dxf>
      <fill>
        <patternFill>
          <bgColor theme="0" tint="-0.34998626667073579"/>
        </patternFill>
      </fill>
    </dxf>
    <dxf>
      <fill>
        <patternFill>
          <bgColor theme="0" tint="-0.34998626667073579"/>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 Id="rId5" Type="http://schemas.openxmlformats.org/officeDocument/2006/relationships/image" Target="../media/image7.png"/><Relationship Id="rId4" Type="http://schemas.openxmlformats.org/officeDocument/2006/relationships/image" Target="../media/image6.png"/></Relationships>
</file>

<file path=xl/drawings/_rels/drawing3.xml.rels><?xml version="1.0" encoding="UTF-8" standalone="yes"?>
<Relationships xmlns="http://schemas.openxmlformats.org/package/2006/relationships"><Relationship Id="rId1"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xdr:from>
      <xdr:col>0</xdr:col>
      <xdr:colOff>238125</xdr:colOff>
      <xdr:row>21</xdr:row>
      <xdr:rowOff>76200</xdr:rowOff>
    </xdr:from>
    <xdr:to>
      <xdr:col>5</xdr:col>
      <xdr:colOff>930</xdr:colOff>
      <xdr:row>51</xdr:row>
      <xdr:rowOff>59575</xdr:rowOff>
    </xdr:to>
    <xdr:grpSp>
      <xdr:nvGrpSpPr>
        <xdr:cNvPr id="5" name="Agrupar 4">
          <a:extLst>
            <a:ext uri="{FF2B5EF4-FFF2-40B4-BE49-F238E27FC236}">
              <a16:creationId xmlns:a16="http://schemas.microsoft.com/office/drawing/2014/main" id="{20D01F12-9C7F-407A-B79F-0F6070889723}"/>
            </a:ext>
          </a:extLst>
        </xdr:cNvPr>
        <xdr:cNvGrpSpPr/>
      </xdr:nvGrpSpPr>
      <xdr:grpSpPr>
        <a:xfrm>
          <a:off x="238125" y="6889376"/>
          <a:ext cx="6329452" cy="5698375"/>
          <a:chOff x="238125" y="8032376"/>
          <a:chExt cx="6329452" cy="5507875"/>
        </a:xfrm>
      </xdr:grpSpPr>
      <xdr:pic>
        <xdr:nvPicPr>
          <xdr:cNvPr id="2" name="Imagem 1">
            <a:extLst>
              <a:ext uri="{FF2B5EF4-FFF2-40B4-BE49-F238E27FC236}">
                <a16:creationId xmlns:a16="http://schemas.microsoft.com/office/drawing/2014/main" id="{B61E55C8-739E-4700-84D4-585F0F8D829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8032376"/>
            <a:ext cx="6329452" cy="407670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3" name="Imagem 2">
            <a:extLst>
              <a:ext uri="{FF2B5EF4-FFF2-40B4-BE49-F238E27FC236}">
                <a16:creationId xmlns:a16="http://schemas.microsoft.com/office/drawing/2014/main" id="{63A71AE2-172F-43E9-B845-1EA14B5ACBC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68366" y="12080501"/>
            <a:ext cx="5718110" cy="145975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oneCellAnchor>
    <xdr:from>
      <xdr:col>4</xdr:col>
      <xdr:colOff>257175</xdr:colOff>
      <xdr:row>11</xdr:row>
      <xdr:rowOff>61912</xdr:rowOff>
    </xdr:from>
    <xdr:ext cx="1644296" cy="261738"/>
    <mc:AlternateContent xmlns:mc="http://schemas.openxmlformats.org/markup-compatibility/2006" xmlns:a14="http://schemas.microsoft.com/office/drawing/2010/main">
      <mc:Choice Requires="a14">
        <xdr:sp macro="" textlink="">
          <xdr:nvSpPr>
            <xdr:cNvPr id="4" name="CaixaDeTexto 3">
              <a:extLst>
                <a:ext uri="{FF2B5EF4-FFF2-40B4-BE49-F238E27FC236}">
                  <a16:creationId xmlns:a16="http://schemas.microsoft.com/office/drawing/2014/main" id="{4BA22B57-B220-4502-8824-ADB25A6F13D4}"/>
                </a:ext>
              </a:extLst>
            </xdr:cNvPr>
            <xdr:cNvSpPr txBox="1"/>
          </xdr:nvSpPr>
          <xdr:spPr>
            <a:xfrm>
              <a:off x="4371975" y="2195512"/>
              <a:ext cx="1644296" cy="26173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14:m>
                <m:oMath xmlns:m="http://schemas.openxmlformats.org/officeDocument/2006/math">
                  <m:r>
                    <a:rPr lang="pt-BR" sz="1100" b="0" i="1">
                      <a:latin typeface="Cambria Math" panose="02040503050406030204" pitchFamily="18" charset="0"/>
                    </a:rPr>
                    <m:t>𝐾</m:t>
                  </m:r>
                  <m:r>
                    <a:rPr lang="pt-BR" sz="1100" b="0" i="1">
                      <a:latin typeface="Cambria Math" panose="02040503050406030204" pitchFamily="18" charset="0"/>
                    </a:rPr>
                    <m:t>4=</m:t>
                  </m:r>
                  <m:f>
                    <m:fPr>
                      <m:ctrlPr>
                        <a:rPr lang="pt-BR" sz="1100" b="0" i="1">
                          <a:latin typeface="Cambria Math" panose="02040503050406030204" pitchFamily="18" charset="0"/>
                        </a:rPr>
                      </m:ctrlPr>
                    </m:fPr>
                    <m:num>
                      <m:r>
                        <a:rPr lang="pt-BR" sz="1100" b="0" i="1">
                          <a:latin typeface="Cambria Math" panose="02040503050406030204" pitchFamily="18" charset="0"/>
                        </a:rPr>
                        <m:t>1</m:t>
                      </m:r>
                    </m:num>
                    <m:den>
                      <m:r>
                        <a:rPr lang="pt-BR" sz="1100" b="0" i="1">
                          <a:latin typeface="Cambria Math" panose="02040503050406030204" pitchFamily="18" charset="0"/>
                        </a:rPr>
                        <m:t>1−(</m:t>
                      </m:r>
                      <m:r>
                        <a:rPr lang="pt-BR" sz="1100" b="0" i="1">
                          <a:solidFill>
                            <a:schemeClr val="tx1"/>
                          </a:solidFill>
                          <a:effectLst/>
                          <a:latin typeface="Cambria Math" panose="02040503050406030204" pitchFamily="18" charset="0"/>
                          <a:ea typeface="+mn-ea"/>
                          <a:cs typeface="+mn-cs"/>
                        </a:rPr>
                        <m:t>𝑘</m:t>
                      </m:r>
                      <m:r>
                        <a:rPr lang="pt-BR" sz="1100" b="0" i="1">
                          <a:solidFill>
                            <a:schemeClr val="tx1"/>
                          </a:solidFill>
                          <a:effectLst/>
                          <a:latin typeface="Cambria Math" panose="02040503050406030204" pitchFamily="18" charset="0"/>
                          <a:ea typeface="+mn-ea"/>
                          <a:cs typeface="+mn-cs"/>
                        </a:rPr>
                        <m:t>4</m:t>
                      </m:r>
                      <m:r>
                        <a:rPr lang="pt-BR" sz="1100" b="0" i="1">
                          <a:solidFill>
                            <a:schemeClr val="tx1"/>
                          </a:solidFill>
                          <a:effectLst/>
                          <a:latin typeface="Cambria Math" panose="02040503050406030204" pitchFamily="18" charset="0"/>
                          <a:ea typeface="+mn-ea"/>
                          <a:cs typeface="+mn-cs"/>
                        </a:rPr>
                        <m:t>𝑎</m:t>
                      </m:r>
                      <m:r>
                        <a:rPr lang="pt-BR" sz="1100" b="0" i="1">
                          <a:solidFill>
                            <a:schemeClr val="tx1"/>
                          </a:solidFill>
                          <a:effectLst/>
                          <a:latin typeface="Cambria Math" panose="02040503050406030204" pitchFamily="18" charset="0"/>
                          <a:ea typeface="+mn-ea"/>
                          <a:cs typeface="+mn-cs"/>
                        </a:rPr>
                        <m:t>+</m:t>
                      </m:r>
                      <m:r>
                        <a:rPr lang="pt-BR" sz="1100" b="0" i="1">
                          <a:solidFill>
                            <a:schemeClr val="tx1"/>
                          </a:solidFill>
                          <a:effectLst/>
                          <a:latin typeface="Cambria Math" panose="02040503050406030204" pitchFamily="18" charset="0"/>
                          <a:ea typeface="+mn-ea"/>
                          <a:cs typeface="+mn-cs"/>
                        </a:rPr>
                        <m:t>𝑘</m:t>
                      </m:r>
                      <m:r>
                        <a:rPr lang="pt-BR" sz="1100" b="0" i="1">
                          <a:solidFill>
                            <a:schemeClr val="tx1"/>
                          </a:solidFill>
                          <a:effectLst/>
                          <a:latin typeface="Cambria Math" panose="02040503050406030204" pitchFamily="18" charset="0"/>
                          <a:ea typeface="+mn-ea"/>
                          <a:cs typeface="+mn-cs"/>
                        </a:rPr>
                        <m:t>4</m:t>
                      </m:r>
                      <m:r>
                        <a:rPr lang="pt-BR" sz="1100" b="0" i="1">
                          <a:solidFill>
                            <a:schemeClr val="tx1"/>
                          </a:solidFill>
                          <a:effectLst/>
                          <a:latin typeface="Cambria Math" panose="02040503050406030204" pitchFamily="18" charset="0"/>
                          <a:ea typeface="+mn-ea"/>
                          <a:cs typeface="+mn-cs"/>
                        </a:rPr>
                        <m:t>𝑏</m:t>
                      </m:r>
                      <m:r>
                        <a:rPr lang="pt-BR" sz="1100" b="0" i="1">
                          <a:solidFill>
                            <a:schemeClr val="tx1"/>
                          </a:solidFill>
                          <a:effectLst/>
                          <a:latin typeface="Cambria Math" panose="02040503050406030204" pitchFamily="18" charset="0"/>
                          <a:ea typeface="+mn-ea"/>
                          <a:cs typeface="+mn-cs"/>
                        </a:rPr>
                        <m:t>+</m:t>
                      </m:r>
                      <m:r>
                        <a:rPr lang="pt-BR" sz="1100" b="0" i="1">
                          <a:solidFill>
                            <a:schemeClr val="tx1"/>
                          </a:solidFill>
                          <a:effectLst/>
                          <a:latin typeface="Cambria Math" panose="02040503050406030204" pitchFamily="18" charset="0"/>
                          <a:ea typeface="+mn-ea"/>
                          <a:cs typeface="+mn-cs"/>
                        </a:rPr>
                        <m:t>𝑘</m:t>
                      </m:r>
                      <m:r>
                        <a:rPr lang="pt-BR" sz="1100" b="0" i="1">
                          <a:solidFill>
                            <a:schemeClr val="tx1"/>
                          </a:solidFill>
                          <a:effectLst/>
                          <a:latin typeface="Cambria Math" panose="02040503050406030204" pitchFamily="18" charset="0"/>
                          <a:ea typeface="+mn-ea"/>
                          <a:cs typeface="+mn-cs"/>
                        </a:rPr>
                        <m:t>4</m:t>
                      </m:r>
                      <m:r>
                        <a:rPr lang="pt-BR" sz="1100" b="0" i="1">
                          <a:solidFill>
                            <a:schemeClr val="tx1"/>
                          </a:solidFill>
                          <a:effectLst/>
                          <a:latin typeface="Cambria Math" panose="02040503050406030204" pitchFamily="18" charset="0"/>
                          <a:ea typeface="+mn-ea"/>
                          <a:cs typeface="+mn-cs"/>
                        </a:rPr>
                        <m:t>𝑐</m:t>
                      </m:r>
                      <m:r>
                        <a:rPr lang="pt-BR" sz="1100" b="0" i="1">
                          <a:solidFill>
                            <a:schemeClr val="tx1"/>
                          </a:solidFill>
                          <a:effectLst/>
                          <a:latin typeface="Cambria Math" panose="02040503050406030204" pitchFamily="18" charset="0"/>
                          <a:ea typeface="+mn-ea"/>
                          <a:cs typeface="+mn-cs"/>
                        </a:rPr>
                        <m:t>+</m:t>
                      </m:r>
                      <m:r>
                        <a:rPr lang="pt-BR" sz="1100" b="0" i="1">
                          <a:solidFill>
                            <a:schemeClr val="tx1"/>
                          </a:solidFill>
                          <a:effectLst/>
                          <a:latin typeface="Cambria Math" panose="02040503050406030204" pitchFamily="18" charset="0"/>
                          <a:ea typeface="+mn-ea"/>
                          <a:cs typeface="+mn-cs"/>
                        </a:rPr>
                        <m:t>𝑘</m:t>
                      </m:r>
                      <m:r>
                        <a:rPr lang="pt-BR" sz="1100" b="0" i="1">
                          <a:solidFill>
                            <a:schemeClr val="tx1"/>
                          </a:solidFill>
                          <a:effectLst/>
                          <a:latin typeface="Cambria Math" panose="02040503050406030204" pitchFamily="18" charset="0"/>
                          <a:ea typeface="+mn-ea"/>
                          <a:cs typeface="+mn-cs"/>
                        </a:rPr>
                        <m:t>4</m:t>
                      </m:r>
                      <m:r>
                        <a:rPr lang="pt-BR" sz="1100" b="0" i="1">
                          <a:solidFill>
                            <a:schemeClr val="tx1"/>
                          </a:solidFill>
                          <a:effectLst/>
                          <a:latin typeface="Cambria Math" panose="02040503050406030204" pitchFamily="18" charset="0"/>
                          <a:ea typeface="+mn-ea"/>
                          <a:cs typeface="+mn-cs"/>
                        </a:rPr>
                        <m:t>𝑑</m:t>
                      </m:r>
                      <m:r>
                        <a:rPr lang="pt-BR" sz="1100" b="0" i="1">
                          <a:solidFill>
                            <a:schemeClr val="tx1"/>
                          </a:solidFill>
                          <a:effectLst/>
                          <a:latin typeface="Cambria Math" panose="02040503050406030204" pitchFamily="18" charset="0"/>
                          <a:ea typeface="+mn-ea"/>
                          <a:cs typeface="+mn-cs"/>
                        </a:rPr>
                        <m:t>)</m:t>
                      </m:r>
                    </m:den>
                  </m:f>
                </m:oMath>
              </a14:m>
              <a:r>
                <a:rPr lang="pt-BR" sz="1100"/>
                <a:t> -1</a:t>
              </a:r>
            </a:p>
          </xdr:txBody>
        </xdr:sp>
      </mc:Choice>
      <mc:Fallback xmlns="">
        <xdr:sp macro="" textlink="">
          <xdr:nvSpPr>
            <xdr:cNvPr id="4" name="CaixaDeTexto 3">
              <a:extLst>
                <a:ext uri="{FF2B5EF4-FFF2-40B4-BE49-F238E27FC236}">
                  <a16:creationId xmlns:a16="http://schemas.microsoft.com/office/drawing/2014/main" id="{4BA22B57-B220-4502-8824-ADB25A6F13D4}"/>
                </a:ext>
              </a:extLst>
            </xdr:cNvPr>
            <xdr:cNvSpPr txBox="1"/>
          </xdr:nvSpPr>
          <xdr:spPr>
            <a:xfrm>
              <a:off x="4371975" y="2195512"/>
              <a:ext cx="1644296" cy="26173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pt-BR" sz="1100" b="0" i="0">
                  <a:latin typeface="Cambria Math" panose="02040503050406030204" pitchFamily="18" charset="0"/>
                </a:rPr>
                <a:t>𝐾4=1/(1−(</a:t>
              </a:r>
              <a:r>
                <a:rPr lang="pt-BR" sz="1100" b="0" i="0">
                  <a:solidFill>
                    <a:schemeClr val="tx1"/>
                  </a:solidFill>
                  <a:effectLst/>
                  <a:latin typeface="+mn-lt"/>
                  <a:ea typeface="+mn-ea"/>
                  <a:cs typeface="+mn-cs"/>
                </a:rPr>
                <a:t>𝑘4𝑎+𝑘4𝑏+𝑘4𝑐+𝑘4𝑑</a:t>
              </a:r>
              <a:r>
                <a:rPr lang="pt-BR" sz="1100" b="0" i="0">
                  <a:solidFill>
                    <a:schemeClr val="tx1"/>
                  </a:solidFill>
                  <a:effectLst/>
                  <a:latin typeface="Cambria Math" panose="02040503050406030204" pitchFamily="18" charset="0"/>
                  <a:ea typeface="+mn-ea"/>
                  <a:cs typeface="+mn-cs"/>
                </a:rPr>
                <a:t>))</a:t>
              </a:r>
              <a:r>
                <a:rPr lang="pt-BR" sz="1100"/>
                <a:t> -1</a:t>
              </a:r>
            </a:p>
          </xdr:txBody>
        </xdr:sp>
      </mc:Fallback>
    </mc:AlternateContent>
    <xdr:clientData/>
  </xdr:oneCellAnchor>
</xdr:wsDr>
</file>

<file path=xl/drawings/drawing2.xml><?xml version="1.0" encoding="utf-8"?>
<xdr:wsDr xmlns:xdr="http://schemas.openxmlformats.org/drawingml/2006/spreadsheetDrawing" xmlns:a="http://schemas.openxmlformats.org/drawingml/2006/main">
  <xdr:twoCellAnchor>
    <xdr:from>
      <xdr:col>0</xdr:col>
      <xdr:colOff>0</xdr:colOff>
      <xdr:row>135</xdr:row>
      <xdr:rowOff>166897</xdr:rowOff>
    </xdr:from>
    <xdr:to>
      <xdr:col>13</xdr:col>
      <xdr:colOff>579782</xdr:colOff>
      <xdr:row>154</xdr:row>
      <xdr:rowOff>0</xdr:rowOff>
    </xdr:to>
    <xdr:grpSp>
      <xdr:nvGrpSpPr>
        <xdr:cNvPr id="14" name="Agrupar 13">
          <a:extLst>
            <a:ext uri="{FF2B5EF4-FFF2-40B4-BE49-F238E27FC236}">
              <a16:creationId xmlns:a16="http://schemas.microsoft.com/office/drawing/2014/main" id="{33D642CA-6528-4435-ABF7-764DDE62BD15}"/>
            </a:ext>
          </a:extLst>
        </xdr:cNvPr>
        <xdr:cNvGrpSpPr/>
      </xdr:nvGrpSpPr>
      <xdr:grpSpPr>
        <a:xfrm>
          <a:off x="0" y="26033484"/>
          <a:ext cx="8547652" cy="3452603"/>
          <a:chOff x="0" y="247650"/>
          <a:chExt cx="8924925" cy="3858537"/>
        </a:xfrm>
      </xdr:grpSpPr>
      <xdr:pic>
        <xdr:nvPicPr>
          <xdr:cNvPr id="2" name="Imagem 1">
            <a:extLst>
              <a:ext uri="{FF2B5EF4-FFF2-40B4-BE49-F238E27FC236}">
                <a16:creationId xmlns:a16="http://schemas.microsoft.com/office/drawing/2014/main" id="{8DACD33B-0D31-48A3-8BDA-FFBECAE279C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247650"/>
            <a:ext cx="8924925" cy="3858537"/>
          </a:xfrm>
          <a:prstGeom prst="rect">
            <a:avLst/>
          </a:prstGeom>
        </xdr:spPr>
      </xdr:pic>
      <xdr:sp macro="" textlink="">
        <xdr:nvSpPr>
          <xdr:cNvPr id="5" name="Retângulo 4">
            <a:extLst>
              <a:ext uri="{FF2B5EF4-FFF2-40B4-BE49-F238E27FC236}">
                <a16:creationId xmlns:a16="http://schemas.microsoft.com/office/drawing/2014/main" id="{54F0C614-9DF0-4B28-B16B-2D807E14FF9F}"/>
              </a:ext>
            </a:extLst>
          </xdr:cNvPr>
          <xdr:cNvSpPr/>
        </xdr:nvSpPr>
        <xdr:spPr>
          <a:xfrm>
            <a:off x="504825" y="1990725"/>
            <a:ext cx="7962900" cy="209550"/>
          </a:xfrm>
          <a:prstGeom prst="rect">
            <a:avLst/>
          </a:prstGeom>
          <a:no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pt-BR" sz="1100"/>
          </a:p>
        </xdr:txBody>
      </xdr:sp>
    </xdr:grpSp>
    <xdr:clientData/>
  </xdr:twoCellAnchor>
  <xdr:twoCellAnchor>
    <xdr:from>
      <xdr:col>0</xdr:col>
      <xdr:colOff>0</xdr:colOff>
      <xdr:row>6</xdr:row>
      <xdr:rowOff>0</xdr:rowOff>
    </xdr:from>
    <xdr:to>
      <xdr:col>14</xdr:col>
      <xdr:colOff>9525</xdr:colOff>
      <xdr:row>69</xdr:row>
      <xdr:rowOff>360</xdr:rowOff>
    </xdr:to>
    <xdr:grpSp>
      <xdr:nvGrpSpPr>
        <xdr:cNvPr id="13" name="Agrupar 12">
          <a:extLst>
            <a:ext uri="{FF2B5EF4-FFF2-40B4-BE49-F238E27FC236}">
              <a16:creationId xmlns:a16="http://schemas.microsoft.com/office/drawing/2014/main" id="{B325CB4B-4EE7-4789-AF5C-8027162D6258}"/>
            </a:ext>
          </a:extLst>
        </xdr:cNvPr>
        <xdr:cNvGrpSpPr/>
      </xdr:nvGrpSpPr>
      <xdr:grpSpPr>
        <a:xfrm>
          <a:off x="0" y="1267239"/>
          <a:ext cx="8805655" cy="12001860"/>
          <a:chOff x="0" y="4429125"/>
          <a:chExt cx="8543925" cy="12001860"/>
        </a:xfrm>
      </xdr:grpSpPr>
      <xdr:pic>
        <xdr:nvPicPr>
          <xdr:cNvPr id="7" name="Imagem 6">
            <a:extLst>
              <a:ext uri="{FF2B5EF4-FFF2-40B4-BE49-F238E27FC236}">
                <a16:creationId xmlns:a16="http://schemas.microsoft.com/office/drawing/2014/main" id="{E2FFBC54-EAA5-4F3D-9503-A0C711E8EC3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4429125"/>
            <a:ext cx="8496300" cy="12001860"/>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8" name="Retângulo 7">
            <a:extLst>
              <a:ext uri="{FF2B5EF4-FFF2-40B4-BE49-F238E27FC236}">
                <a16:creationId xmlns:a16="http://schemas.microsoft.com/office/drawing/2014/main" id="{E1E903AC-A611-477E-BD03-C4B1C507D4BC}"/>
              </a:ext>
            </a:extLst>
          </xdr:cNvPr>
          <xdr:cNvSpPr/>
        </xdr:nvSpPr>
        <xdr:spPr>
          <a:xfrm>
            <a:off x="190500" y="11782425"/>
            <a:ext cx="8353425" cy="200025"/>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10" name="Retângulo 9">
            <a:extLst>
              <a:ext uri="{FF2B5EF4-FFF2-40B4-BE49-F238E27FC236}">
                <a16:creationId xmlns:a16="http://schemas.microsoft.com/office/drawing/2014/main" id="{86B2DACA-80D3-44D5-8D9B-6815A4B9AE49}"/>
              </a:ext>
            </a:extLst>
          </xdr:cNvPr>
          <xdr:cNvSpPr/>
        </xdr:nvSpPr>
        <xdr:spPr>
          <a:xfrm>
            <a:off x="190500" y="13201650"/>
            <a:ext cx="8353425" cy="200025"/>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11" name="Retângulo 10">
            <a:extLst>
              <a:ext uri="{FF2B5EF4-FFF2-40B4-BE49-F238E27FC236}">
                <a16:creationId xmlns:a16="http://schemas.microsoft.com/office/drawing/2014/main" id="{AEC4530F-9A86-4F70-A687-9CD06B90F8BC}"/>
              </a:ext>
            </a:extLst>
          </xdr:cNvPr>
          <xdr:cNvSpPr/>
        </xdr:nvSpPr>
        <xdr:spPr>
          <a:xfrm>
            <a:off x="190500" y="13992225"/>
            <a:ext cx="8353425" cy="200025"/>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12" name="Retângulo 11">
            <a:extLst>
              <a:ext uri="{FF2B5EF4-FFF2-40B4-BE49-F238E27FC236}">
                <a16:creationId xmlns:a16="http://schemas.microsoft.com/office/drawing/2014/main" id="{B8D7E016-E2C7-4E71-B597-568010A67FD3}"/>
              </a:ext>
            </a:extLst>
          </xdr:cNvPr>
          <xdr:cNvSpPr/>
        </xdr:nvSpPr>
        <xdr:spPr>
          <a:xfrm>
            <a:off x="190500" y="14935200"/>
            <a:ext cx="8353425" cy="371475"/>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grpSp>
    <xdr:clientData/>
  </xdr:twoCellAnchor>
  <xdr:twoCellAnchor>
    <xdr:from>
      <xdr:col>0</xdr:col>
      <xdr:colOff>0</xdr:colOff>
      <xdr:row>69</xdr:row>
      <xdr:rowOff>33609</xdr:rowOff>
    </xdr:from>
    <xdr:to>
      <xdr:col>14</xdr:col>
      <xdr:colOff>11804</xdr:colOff>
      <xdr:row>132</xdr:row>
      <xdr:rowOff>4763</xdr:rowOff>
    </xdr:to>
    <xdr:grpSp>
      <xdr:nvGrpSpPr>
        <xdr:cNvPr id="18" name="Agrupar 17">
          <a:extLst>
            <a:ext uri="{FF2B5EF4-FFF2-40B4-BE49-F238E27FC236}">
              <a16:creationId xmlns:a16="http://schemas.microsoft.com/office/drawing/2014/main" id="{26290C5B-BD51-4F87-B46E-075924920633}"/>
            </a:ext>
          </a:extLst>
        </xdr:cNvPr>
        <xdr:cNvGrpSpPr/>
      </xdr:nvGrpSpPr>
      <xdr:grpSpPr>
        <a:xfrm>
          <a:off x="0" y="13302348"/>
          <a:ext cx="8807934" cy="11972654"/>
          <a:chOff x="0" y="12035109"/>
          <a:chExt cx="8592587" cy="11972654"/>
        </a:xfrm>
      </xdr:grpSpPr>
      <xdr:pic>
        <xdr:nvPicPr>
          <xdr:cNvPr id="15" name="Imagem 14">
            <a:extLst>
              <a:ext uri="{FF2B5EF4-FFF2-40B4-BE49-F238E27FC236}">
                <a16:creationId xmlns:a16="http://schemas.microsoft.com/office/drawing/2014/main" id="{8D9E86E8-E3A9-4D25-800B-D36562BA5BE6}"/>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12035109"/>
            <a:ext cx="8529845" cy="11972654"/>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16" name="Retângulo 15">
            <a:extLst>
              <a:ext uri="{FF2B5EF4-FFF2-40B4-BE49-F238E27FC236}">
                <a16:creationId xmlns:a16="http://schemas.microsoft.com/office/drawing/2014/main" id="{33A10FFB-05A7-4B8B-A548-403424811A31}"/>
              </a:ext>
            </a:extLst>
          </xdr:cNvPr>
          <xdr:cNvSpPr/>
        </xdr:nvSpPr>
        <xdr:spPr>
          <a:xfrm>
            <a:off x="190500" y="21037826"/>
            <a:ext cx="8398774" cy="214106"/>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17" name="Retângulo 16">
            <a:extLst>
              <a:ext uri="{FF2B5EF4-FFF2-40B4-BE49-F238E27FC236}">
                <a16:creationId xmlns:a16="http://schemas.microsoft.com/office/drawing/2014/main" id="{745EA254-760D-4CB9-BF96-D514B4B82908}"/>
              </a:ext>
            </a:extLst>
          </xdr:cNvPr>
          <xdr:cNvSpPr/>
        </xdr:nvSpPr>
        <xdr:spPr>
          <a:xfrm>
            <a:off x="193813" y="20718115"/>
            <a:ext cx="8398774" cy="214106"/>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grpSp>
    <xdr:clientData/>
  </xdr:twoCellAnchor>
  <xdr:twoCellAnchor>
    <xdr:from>
      <xdr:col>0</xdr:col>
      <xdr:colOff>33131</xdr:colOff>
      <xdr:row>158</xdr:row>
      <xdr:rowOff>120923</xdr:rowOff>
    </xdr:from>
    <xdr:to>
      <xdr:col>17</xdr:col>
      <xdr:colOff>437642</xdr:colOff>
      <xdr:row>212</xdr:row>
      <xdr:rowOff>169341</xdr:rowOff>
    </xdr:to>
    <xdr:grpSp>
      <xdr:nvGrpSpPr>
        <xdr:cNvPr id="24" name="Agrupar 23">
          <a:extLst>
            <a:ext uri="{FF2B5EF4-FFF2-40B4-BE49-F238E27FC236}">
              <a16:creationId xmlns:a16="http://schemas.microsoft.com/office/drawing/2014/main" id="{14C07773-F26D-4400-9A0D-1DA04130833B}"/>
            </a:ext>
          </a:extLst>
        </xdr:cNvPr>
        <xdr:cNvGrpSpPr/>
      </xdr:nvGrpSpPr>
      <xdr:grpSpPr>
        <a:xfrm>
          <a:off x="33131" y="30484966"/>
          <a:ext cx="11039381" cy="10335418"/>
          <a:chOff x="0" y="30625771"/>
          <a:chExt cx="11039381" cy="10335418"/>
        </a:xfrm>
      </xdr:grpSpPr>
      <xdr:grpSp>
        <xdr:nvGrpSpPr>
          <xdr:cNvPr id="22" name="Agrupar 21">
            <a:extLst>
              <a:ext uri="{FF2B5EF4-FFF2-40B4-BE49-F238E27FC236}">
                <a16:creationId xmlns:a16="http://schemas.microsoft.com/office/drawing/2014/main" id="{E2F63B94-8DA0-4939-BDD4-54A5760BD890}"/>
              </a:ext>
            </a:extLst>
          </xdr:cNvPr>
          <xdr:cNvGrpSpPr/>
        </xdr:nvGrpSpPr>
        <xdr:grpSpPr>
          <a:xfrm>
            <a:off x="0" y="30625771"/>
            <a:ext cx="11039381" cy="5076000"/>
            <a:chOff x="0" y="30634054"/>
            <a:chExt cx="11039381" cy="5076000"/>
          </a:xfrm>
        </xdr:grpSpPr>
        <xdr:pic>
          <xdr:nvPicPr>
            <xdr:cNvPr id="4" name="Imagem 3">
              <a:extLst>
                <a:ext uri="{FF2B5EF4-FFF2-40B4-BE49-F238E27FC236}">
                  <a16:creationId xmlns:a16="http://schemas.microsoft.com/office/drawing/2014/main" id="{A0CC1086-73B4-457D-94FA-6BD3E5E97543}"/>
                </a:ext>
              </a:extLst>
            </xdr:cNvPr>
            <xdr:cNvPicPr>
              <a:picLocks noChangeAspect="1"/>
            </xdr:cNvPicPr>
          </xdr:nvPicPr>
          <xdr:blipFill>
            <a:blip xmlns:r="http://schemas.openxmlformats.org/officeDocument/2006/relationships" r:embed="rId4"/>
            <a:stretch>
              <a:fillRect/>
            </a:stretch>
          </xdr:blipFill>
          <xdr:spPr>
            <a:xfrm>
              <a:off x="0" y="30625771"/>
              <a:ext cx="11039381" cy="5076000"/>
            </a:xfrm>
            <a:prstGeom prst="rect">
              <a:avLst/>
            </a:prstGeom>
          </xdr:spPr>
        </xdr:pic>
        <xdr:sp macro="" textlink="">
          <xdr:nvSpPr>
            <xdr:cNvPr id="19" name="Retângulo 18">
              <a:extLst>
                <a:ext uri="{FF2B5EF4-FFF2-40B4-BE49-F238E27FC236}">
                  <a16:creationId xmlns:a16="http://schemas.microsoft.com/office/drawing/2014/main" id="{0227E352-B037-4352-BDC8-62BB8DCE2219}"/>
                </a:ext>
              </a:extLst>
            </xdr:cNvPr>
            <xdr:cNvSpPr/>
          </xdr:nvSpPr>
          <xdr:spPr>
            <a:xfrm>
              <a:off x="107674" y="32335298"/>
              <a:ext cx="3619500" cy="132522"/>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grpSp>
      <xdr:grpSp>
        <xdr:nvGrpSpPr>
          <xdr:cNvPr id="23" name="Agrupar 22">
            <a:extLst>
              <a:ext uri="{FF2B5EF4-FFF2-40B4-BE49-F238E27FC236}">
                <a16:creationId xmlns:a16="http://schemas.microsoft.com/office/drawing/2014/main" id="{663BD744-F0A0-4103-A762-B3A282214C96}"/>
              </a:ext>
            </a:extLst>
          </xdr:cNvPr>
          <xdr:cNvGrpSpPr/>
        </xdr:nvGrpSpPr>
        <xdr:grpSpPr>
          <a:xfrm>
            <a:off x="0" y="35732618"/>
            <a:ext cx="10989877" cy="5228571"/>
            <a:chOff x="0" y="35732618"/>
            <a:chExt cx="10989877" cy="5228571"/>
          </a:xfrm>
        </xdr:grpSpPr>
        <xdr:pic>
          <xdr:nvPicPr>
            <xdr:cNvPr id="3" name="Imagem 2">
              <a:extLst>
                <a:ext uri="{FF2B5EF4-FFF2-40B4-BE49-F238E27FC236}">
                  <a16:creationId xmlns:a16="http://schemas.microsoft.com/office/drawing/2014/main" id="{123FFA54-0F58-4A04-B031-550D8C964FE3}"/>
                </a:ext>
              </a:extLst>
            </xdr:cNvPr>
            <xdr:cNvPicPr>
              <a:picLocks noChangeAspect="1"/>
            </xdr:cNvPicPr>
          </xdr:nvPicPr>
          <xdr:blipFill>
            <a:blip xmlns:r="http://schemas.openxmlformats.org/officeDocument/2006/relationships" r:embed="rId5"/>
            <a:stretch>
              <a:fillRect/>
            </a:stretch>
          </xdr:blipFill>
          <xdr:spPr>
            <a:xfrm>
              <a:off x="0" y="35732618"/>
              <a:ext cx="10989877" cy="5228571"/>
            </a:xfrm>
            <a:prstGeom prst="rect">
              <a:avLst/>
            </a:prstGeom>
          </xdr:spPr>
        </xdr:pic>
        <xdr:sp macro="" textlink="">
          <xdr:nvSpPr>
            <xdr:cNvPr id="20" name="Retângulo 19">
              <a:extLst>
                <a:ext uri="{FF2B5EF4-FFF2-40B4-BE49-F238E27FC236}">
                  <a16:creationId xmlns:a16="http://schemas.microsoft.com/office/drawing/2014/main" id="{E9E38D61-40C0-4214-B566-7E4C72F2D5A5}"/>
                </a:ext>
              </a:extLst>
            </xdr:cNvPr>
            <xdr:cNvSpPr/>
          </xdr:nvSpPr>
          <xdr:spPr>
            <a:xfrm>
              <a:off x="82825" y="37438840"/>
              <a:ext cx="4124739" cy="147638"/>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grpSp>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19050</xdr:colOff>
      <xdr:row>16</xdr:row>
      <xdr:rowOff>76200</xdr:rowOff>
    </xdr:from>
    <xdr:to>
      <xdr:col>3</xdr:col>
      <xdr:colOff>581025</xdr:colOff>
      <xdr:row>50</xdr:row>
      <xdr:rowOff>142875</xdr:rowOff>
    </xdr:to>
    <xdr:grpSp>
      <xdr:nvGrpSpPr>
        <xdr:cNvPr id="4" name="Agrupar 3">
          <a:extLst>
            <a:ext uri="{FF2B5EF4-FFF2-40B4-BE49-F238E27FC236}">
              <a16:creationId xmlns:a16="http://schemas.microsoft.com/office/drawing/2014/main" id="{60E50654-E584-48F4-ADAD-A0283441696E}"/>
            </a:ext>
          </a:extLst>
        </xdr:cNvPr>
        <xdr:cNvGrpSpPr/>
      </xdr:nvGrpSpPr>
      <xdr:grpSpPr>
        <a:xfrm>
          <a:off x="19050" y="3409950"/>
          <a:ext cx="6067425" cy="6543675"/>
          <a:chOff x="0" y="3409950"/>
          <a:chExt cx="6067425" cy="6543675"/>
        </a:xfrm>
      </xdr:grpSpPr>
      <xdr:pic>
        <xdr:nvPicPr>
          <xdr:cNvPr id="2" name="Imagem 1">
            <a:extLst>
              <a:ext uri="{FF2B5EF4-FFF2-40B4-BE49-F238E27FC236}">
                <a16:creationId xmlns:a16="http://schemas.microsoft.com/office/drawing/2014/main" id="{A3A318DA-D0FC-42D0-9170-717F4087B8F4}"/>
              </a:ext>
            </a:extLst>
          </xdr:cNvPr>
          <xdr:cNvPicPr>
            <a:picLocks noChangeAspect="1"/>
          </xdr:cNvPicPr>
        </xdr:nvPicPr>
        <xdr:blipFill rotWithShape="1">
          <a:blip xmlns:r="http://schemas.openxmlformats.org/officeDocument/2006/relationships" r:embed="rId1"/>
          <a:srcRect l="29817" t="12560" r="30366" b="7546"/>
          <a:stretch/>
        </xdr:blipFill>
        <xdr:spPr>
          <a:xfrm>
            <a:off x="0" y="3409950"/>
            <a:ext cx="6067425" cy="6543675"/>
          </a:xfrm>
          <a:prstGeom prst="rect">
            <a:avLst/>
          </a:prstGeom>
        </xdr:spPr>
      </xdr:pic>
      <xdr:sp macro="" textlink="">
        <xdr:nvSpPr>
          <xdr:cNvPr id="3" name="Retângulo 2">
            <a:extLst>
              <a:ext uri="{FF2B5EF4-FFF2-40B4-BE49-F238E27FC236}">
                <a16:creationId xmlns:a16="http://schemas.microsoft.com/office/drawing/2014/main" id="{92E6B09A-2E61-4358-B2D2-A7DE708EEB11}"/>
              </a:ext>
            </a:extLst>
          </xdr:cNvPr>
          <xdr:cNvSpPr/>
        </xdr:nvSpPr>
        <xdr:spPr>
          <a:xfrm>
            <a:off x="619125" y="9324975"/>
            <a:ext cx="4762500" cy="257175"/>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grpSp>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hyperlink" Target="https://www.gov.br/dnit/pt-br/assuntos/planejamento-e-pesquisa/custos-e-pagamentos/custos-e-pagamentos-dnit/indices-de-reajustamentos/indices-de-reajustamentos-de-obras-rodoviario" TargetMode="External"/><Relationship Id="rId2" Type="http://schemas.openxmlformats.org/officeDocument/2006/relationships/hyperlink" Target="http://orse.cehop.se.gov.br/insumos.asp" TargetMode="External"/><Relationship Id="rId1" Type="http://schemas.openxmlformats.org/officeDocument/2006/relationships/hyperlink" Target="https://www.daer.rs.gov.br/upload/arquivos/202109/27181957-tabela-projeto-21.pdf" TargetMode="External"/><Relationship Id="rId5" Type="http://schemas.openxmlformats.org/officeDocument/2006/relationships/drawing" Target="../drawings/drawing2.xml"/><Relationship Id="rId4"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7.bin"/><Relationship Id="rId1" Type="http://schemas.openxmlformats.org/officeDocument/2006/relationships/hyperlink" Target="https://www.crea-mt.org.br/portal/wp-content/uploads/2021/05/CONFIRA-A-TABELA-DE-HONORARIOS-PROFISSIONAIS-BASICOS-DA-ABENC.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23"/>
  <sheetViews>
    <sheetView tabSelected="1" workbookViewId="0">
      <selection activeCell="F13" sqref="F13"/>
    </sheetView>
  </sheetViews>
  <sheetFormatPr defaultRowHeight="15" x14ac:dyDescent="0.25"/>
  <cols>
    <col min="1" max="1" width="4.42578125" customWidth="1"/>
    <col min="2" max="2" width="13.5703125" bestFit="1" customWidth="1"/>
    <col min="3" max="3" width="55.7109375" customWidth="1"/>
    <col min="4" max="4" width="18.28515625" customWidth="1"/>
  </cols>
  <sheetData>
    <row r="1" spans="1:26" ht="21" x14ac:dyDescent="0.25">
      <c r="B1" s="221" t="s">
        <v>173</v>
      </c>
      <c r="C1" s="222"/>
      <c r="D1" s="223"/>
      <c r="E1" s="152"/>
      <c r="F1" s="152"/>
      <c r="G1" s="152"/>
      <c r="H1" s="152"/>
      <c r="I1" s="152"/>
      <c r="J1" s="152"/>
      <c r="K1" s="152"/>
      <c r="L1" s="152"/>
      <c r="M1" s="152"/>
      <c r="N1" s="152"/>
      <c r="O1" s="152"/>
      <c r="P1" s="152"/>
      <c r="Q1" s="152"/>
      <c r="R1" s="152"/>
      <c r="S1" s="152"/>
      <c r="T1" s="152"/>
      <c r="U1" s="152"/>
      <c r="V1" s="152"/>
      <c r="W1" s="152"/>
      <c r="X1" s="152"/>
      <c r="Y1" s="152"/>
      <c r="Z1" s="152"/>
    </row>
    <row r="2" spans="1:26" ht="32.25" customHeight="1" x14ac:dyDescent="0.25">
      <c r="A2" s="5"/>
      <c r="B2" s="160" t="s">
        <v>158</v>
      </c>
      <c r="C2" s="219" t="s">
        <v>162</v>
      </c>
      <c r="D2" s="220"/>
      <c r="E2" s="5"/>
      <c r="F2" s="5"/>
      <c r="G2" s="5"/>
      <c r="H2" s="5"/>
      <c r="I2" s="5"/>
      <c r="J2" s="5"/>
      <c r="K2" s="5"/>
      <c r="L2" s="5"/>
      <c r="M2" s="5"/>
      <c r="N2" s="5"/>
      <c r="O2" s="5"/>
      <c r="P2" s="5"/>
      <c r="Q2" s="5"/>
      <c r="R2" s="5"/>
      <c r="S2" s="5"/>
      <c r="T2" s="5"/>
      <c r="U2" s="5"/>
      <c r="V2" s="10"/>
      <c r="W2" s="154"/>
      <c r="X2" s="5"/>
      <c r="Y2" s="5"/>
      <c r="Z2" s="153"/>
    </row>
    <row r="3" spans="1:26" x14ac:dyDescent="0.25">
      <c r="A3" s="5"/>
      <c r="B3" s="161" t="s">
        <v>159</v>
      </c>
      <c r="C3" s="224" t="s">
        <v>176</v>
      </c>
      <c r="D3" s="225"/>
      <c r="E3" s="5"/>
      <c r="F3" s="5"/>
      <c r="G3" s="5"/>
      <c r="H3" s="5"/>
      <c r="I3" s="5"/>
      <c r="J3" s="5"/>
      <c r="K3" s="5"/>
      <c r="L3" s="5"/>
      <c r="M3" s="5"/>
      <c r="N3" s="5"/>
      <c r="O3" s="5"/>
      <c r="P3" s="5"/>
      <c r="Q3" s="5"/>
      <c r="R3" s="5"/>
      <c r="S3" s="5"/>
      <c r="T3" s="148"/>
      <c r="U3" s="148"/>
      <c r="V3" s="149"/>
      <c r="W3" s="150"/>
      <c r="X3" s="5"/>
      <c r="Y3" s="5"/>
      <c r="Z3" s="153"/>
    </row>
    <row r="4" spans="1:26" ht="15.75" thickBot="1" x14ac:dyDescent="0.3">
      <c r="A4" s="5"/>
      <c r="B4" s="162" t="s">
        <v>202</v>
      </c>
      <c r="C4" s="226" t="s">
        <v>178</v>
      </c>
      <c r="D4" s="227"/>
      <c r="E4" s="5"/>
      <c r="F4" s="5"/>
      <c r="G4" s="5"/>
      <c r="H4" s="5"/>
      <c r="I4" s="5"/>
      <c r="J4" s="5"/>
      <c r="K4" s="5"/>
      <c r="L4" s="5"/>
      <c r="M4" s="5"/>
      <c r="N4" s="5"/>
      <c r="O4" s="5"/>
      <c r="P4" s="5"/>
      <c r="Q4" s="5"/>
      <c r="R4" s="5"/>
      <c r="S4" s="5"/>
      <c r="T4" s="148"/>
      <c r="U4" s="148"/>
      <c r="V4" s="149"/>
      <c r="W4" s="150"/>
      <c r="X4" s="5"/>
      <c r="Y4" s="5"/>
      <c r="Z4" s="153"/>
    </row>
    <row r="5" spans="1:26" ht="5.25" customHeight="1" thickBot="1" x14ac:dyDescent="0.3"/>
    <row r="6" spans="1:26" s="9" customFormat="1" ht="31.5" x14ac:dyDescent="0.25">
      <c r="B6" s="171" t="s">
        <v>59</v>
      </c>
      <c r="C6" s="172" t="s">
        <v>57</v>
      </c>
      <c r="D6" s="173" t="s">
        <v>58</v>
      </c>
    </row>
    <row r="7" spans="1:26" x14ac:dyDescent="0.25">
      <c r="B7" s="32" t="s">
        <v>62</v>
      </c>
      <c r="C7" s="33" t="s">
        <v>4</v>
      </c>
      <c r="D7" s="34">
        <f>ORÇAMENTO!D36</f>
        <v>16398.53253268492</v>
      </c>
    </row>
    <row r="8" spans="1:26" x14ac:dyDescent="0.25">
      <c r="B8" s="32" t="s">
        <v>63</v>
      </c>
      <c r="C8" s="33" t="s">
        <v>5</v>
      </c>
      <c r="D8" s="34">
        <f>ORÇAMENTO!E36</f>
        <v>40954.980984820621</v>
      </c>
    </row>
    <row r="9" spans="1:26" x14ac:dyDescent="0.25">
      <c r="B9" s="32" t="s">
        <v>64</v>
      </c>
      <c r="C9" s="33" t="s">
        <v>6</v>
      </c>
      <c r="D9" s="34">
        <f>ORÇAMENTO!F36</f>
        <v>16011.055032420383</v>
      </c>
    </row>
    <row r="10" spans="1:26" x14ac:dyDescent="0.25">
      <c r="B10" s="32" t="s">
        <v>65</v>
      </c>
      <c r="C10" s="33" t="s">
        <v>7</v>
      </c>
      <c r="D10" s="34">
        <f>ORÇAMENTO!G36</f>
        <v>19995.739532013486</v>
      </c>
    </row>
    <row r="11" spans="1:26" x14ac:dyDescent="0.25">
      <c r="B11" s="32" t="s">
        <v>66</v>
      </c>
      <c r="C11" s="33" t="s">
        <v>8</v>
      </c>
      <c r="D11" s="34">
        <f>ORÇAMENTO!H36</f>
        <v>10741.664136700332</v>
      </c>
    </row>
    <row r="12" spans="1:26" x14ac:dyDescent="0.25">
      <c r="B12" s="32" t="s">
        <v>67</v>
      </c>
      <c r="C12" s="33" t="s">
        <v>9</v>
      </c>
      <c r="D12" s="34">
        <f>ORÇAMENTO!I36</f>
        <v>13039.206404174225</v>
      </c>
    </row>
    <row r="13" spans="1:26" x14ac:dyDescent="0.25">
      <c r="B13" s="32" t="s">
        <v>68</v>
      </c>
      <c r="C13" s="33" t="s">
        <v>10</v>
      </c>
      <c r="D13" s="34">
        <f>ORÇAMENTO!J36</f>
        <v>3388.2783534859273</v>
      </c>
    </row>
    <row r="14" spans="1:26" x14ac:dyDescent="0.25">
      <c r="B14" s="32" t="s">
        <v>69</v>
      </c>
      <c r="C14" s="33" t="s">
        <v>11</v>
      </c>
      <c r="D14" s="34">
        <f>ORÇAMENTO!K36</f>
        <v>85829.299276320322</v>
      </c>
    </row>
    <row r="15" spans="1:26" x14ac:dyDescent="0.25">
      <c r="B15" s="32" t="s">
        <v>70</v>
      </c>
      <c r="C15" s="33" t="s">
        <v>12</v>
      </c>
      <c r="D15" s="34">
        <f>ORÇAMENTO!L36</f>
        <v>7564.9997582060641</v>
      </c>
    </row>
    <row r="16" spans="1:26" x14ac:dyDescent="0.25">
      <c r="B16" s="32" t="s">
        <v>71</v>
      </c>
      <c r="C16" s="33" t="s">
        <v>13</v>
      </c>
      <c r="D16" s="34">
        <f>ORÇAMENTO!M36</f>
        <v>3388.2783534859273</v>
      </c>
    </row>
    <row r="17" spans="2:4" x14ac:dyDescent="0.25">
      <c r="B17" s="32" t="s">
        <v>72</v>
      </c>
      <c r="C17" s="33" t="s">
        <v>14</v>
      </c>
      <c r="D17" s="34">
        <f>ORÇAMENTO!N36</f>
        <v>4880.0671797409086</v>
      </c>
    </row>
    <row r="18" spans="2:4" x14ac:dyDescent="0.25">
      <c r="B18" s="32" t="s">
        <v>73</v>
      </c>
      <c r="C18" s="33" t="s">
        <v>60</v>
      </c>
      <c r="D18" s="34">
        <f>ORÇAMENTO!O36</f>
        <v>3969.6435495441274</v>
      </c>
    </row>
    <row r="19" spans="2:4" x14ac:dyDescent="0.25">
      <c r="B19" s="32" t="s">
        <v>74</v>
      </c>
      <c r="C19" s="33" t="s">
        <v>15</v>
      </c>
      <c r="D19" s="34">
        <f>ORÇAMENTO!P36</f>
        <v>6618.4139545753405</v>
      </c>
    </row>
    <row r="20" spans="2:4" x14ac:dyDescent="0.25">
      <c r="B20" s="32" t="s">
        <v>75</v>
      </c>
      <c r="C20" s="33" t="s">
        <v>16</v>
      </c>
      <c r="D20" s="34">
        <f>ORÇAMENTO!Q36</f>
        <v>9487.7124427803974</v>
      </c>
    </row>
    <row r="21" spans="2:4" x14ac:dyDescent="0.25">
      <c r="B21" s="32" t="s">
        <v>76</v>
      </c>
      <c r="C21" s="33" t="s">
        <v>17</v>
      </c>
      <c r="D21" s="34">
        <f>ORÇAMENTO!R36</f>
        <v>10387.086592823522</v>
      </c>
    </row>
    <row r="22" spans="2:4" x14ac:dyDescent="0.25">
      <c r="B22" s="32" t="s">
        <v>77</v>
      </c>
      <c r="C22" s="33" t="s">
        <v>18</v>
      </c>
      <c r="D22" s="34">
        <f>ORÇAMENTO!S36</f>
        <v>29586.431950609887</v>
      </c>
    </row>
    <row r="23" spans="2:4" s="3" customFormat="1" ht="15.75" thickBot="1" x14ac:dyDescent="0.3">
      <c r="B23" s="24"/>
      <c r="C23" s="25" t="s">
        <v>78</v>
      </c>
      <c r="D23" s="26">
        <f>SUM(D7:D22)</f>
        <v>282241.39003438642</v>
      </c>
    </row>
  </sheetData>
  <mergeCells count="4">
    <mergeCell ref="C2:D2"/>
    <mergeCell ref="B1:D1"/>
    <mergeCell ref="C3:D3"/>
    <mergeCell ref="C4:D4"/>
  </mergeCells>
  <pageMargins left="0.98425196850393704" right="0.51181102362204722" top="0.78740157480314965" bottom="0.78740157480314965" header="0.31496062992125984" footer="0.31496062992125984"/>
  <pageSetup paperSize="9" scale="9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Z24"/>
  <sheetViews>
    <sheetView zoomScale="85" zoomScaleNormal="85" workbookViewId="0">
      <selection activeCell="B1" sqref="B1:S1"/>
    </sheetView>
  </sheetViews>
  <sheetFormatPr defaultRowHeight="15" x14ac:dyDescent="0.25"/>
  <cols>
    <col min="1" max="1" width="4.140625" customWidth="1"/>
    <col min="2" max="2" width="10.28515625" customWidth="1"/>
    <col min="3" max="3" width="49.85546875" customWidth="1"/>
    <col min="4" max="17" width="7.85546875" customWidth="1"/>
    <col min="18" max="18" width="10.7109375" customWidth="1"/>
    <col min="19" max="19" width="14.140625" style="1" customWidth="1"/>
    <col min="20" max="23" width="11.7109375" style="1" hidden="1" customWidth="1"/>
  </cols>
  <sheetData>
    <row r="1" spans="1:26" ht="36" customHeight="1" thickBot="1" x14ac:dyDescent="0.3">
      <c r="B1" s="228" t="s">
        <v>160</v>
      </c>
      <c r="C1" s="229"/>
      <c r="D1" s="229"/>
      <c r="E1" s="229"/>
      <c r="F1" s="229"/>
      <c r="G1" s="229"/>
      <c r="H1" s="229"/>
      <c r="I1" s="229"/>
      <c r="J1" s="229"/>
      <c r="K1" s="229"/>
      <c r="L1" s="229"/>
      <c r="M1" s="229"/>
      <c r="N1" s="229"/>
      <c r="O1" s="229"/>
      <c r="P1" s="229"/>
      <c r="Q1" s="229"/>
      <c r="R1" s="229"/>
      <c r="S1" s="230"/>
      <c r="T1" s="151"/>
      <c r="U1" s="151"/>
      <c r="V1" s="151"/>
      <c r="W1" s="151"/>
      <c r="X1" s="152"/>
      <c r="Y1" s="152"/>
      <c r="Z1" s="152"/>
    </row>
    <row r="2" spans="1:26" x14ac:dyDescent="0.25">
      <c r="A2" s="5"/>
      <c r="B2" s="163" t="s">
        <v>158</v>
      </c>
      <c r="C2" s="164" t="s">
        <v>162</v>
      </c>
      <c r="D2" s="165"/>
      <c r="E2" s="165"/>
      <c r="F2" s="165"/>
      <c r="G2" s="165"/>
      <c r="H2" s="165"/>
      <c r="I2" s="165"/>
      <c r="J2" s="165"/>
      <c r="K2" s="165"/>
      <c r="L2" s="165"/>
      <c r="M2" s="165"/>
      <c r="N2" s="165"/>
      <c r="O2" s="165"/>
      <c r="P2" s="165"/>
      <c r="Q2" s="165"/>
      <c r="R2" s="165"/>
      <c r="S2" s="166"/>
      <c r="T2" s="148"/>
      <c r="U2" s="148"/>
      <c r="V2" s="149"/>
      <c r="W2" s="150"/>
      <c r="X2" s="5"/>
      <c r="Y2" s="5"/>
      <c r="Z2" s="153"/>
    </row>
    <row r="3" spans="1:26" x14ac:dyDescent="0.25">
      <c r="A3" s="5"/>
      <c r="B3" s="163" t="s">
        <v>159</v>
      </c>
      <c r="C3" s="164" t="s">
        <v>176</v>
      </c>
      <c r="D3" s="165"/>
      <c r="E3" s="165"/>
      <c r="F3" s="165"/>
      <c r="G3" s="165"/>
      <c r="H3" s="165"/>
      <c r="I3" s="165"/>
      <c r="J3" s="165"/>
      <c r="K3" s="165"/>
      <c r="L3" s="165"/>
      <c r="M3" s="165"/>
      <c r="N3" s="165"/>
      <c r="O3" s="165"/>
      <c r="P3" s="165"/>
      <c r="Q3" s="165"/>
      <c r="R3" s="165"/>
      <c r="S3" s="166"/>
      <c r="T3" s="148"/>
      <c r="U3" s="148"/>
      <c r="V3" s="149"/>
      <c r="W3" s="150"/>
      <c r="X3" s="5"/>
      <c r="Y3" s="5"/>
      <c r="Z3" s="153"/>
    </row>
    <row r="4" spans="1:26" ht="30.75" thickBot="1" x14ac:dyDescent="0.3">
      <c r="A4" s="5"/>
      <c r="B4" s="167" t="s">
        <v>202</v>
      </c>
      <c r="C4" s="168" t="s">
        <v>178</v>
      </c>
      <c r="D4" s="169"/>
      <c r="E4" s="169"/>
      <c r="F4" s="169"/>
      <c r="G4" s="169"/>
      <c r="H4" s="169"/>
      <c r="I4" s="169"/>
      <c r="J4" s="169"/>
      <c r="K4" s="169"/>
      <c r="L4" s="169"/>
      <c r="M4" s="169"/>
      <c r="N4" s="169"/>
      <c r="O4" s="169"/>
      <c r="P4" s="169"/>
      <c r="Q4" s="169"/>
      <c r="R4" s="169"/>
      <c r="S4" s="170"/>
      <c r="T4" s="148"/>
      <c r="U4" s="148"/>
      <c r="V4" s="149"/>
      <c r="W4" s="150"/>
      <c r="X4" s="5"/>
      <c r="Y4" s="5"/>
      <c r="Z4" s="153"/>
    </row>
    <row r="5" spans="1:26" ht="6.75" customHeight="1" thickBot="1" x14ac:dyDescent="0.3"/>
    <row r="6" spans="1:26" x14ac:dyDescent="0.25">
      <c r="B6" s="238" t="s">
        <v>61</v>
      </c>
      <c r="C6" s="234" t="s">
        <v>177</v>
      </c>
      <c r="D6" s="16" t="s">
        <v>26</v>
      </c>
      <c r="E6" s="17" t="s">
        <v>26</v>
      </c>
      <c r="F6" s="17" t="s">
        <v>26</v>
      </c>
      <c r="G6" s="18" t="s">
        <v>26</v>
      </c>
      <c r="H6" s="16" t="s">
        <v>26</v>
      </c>
      <c r="I6" s="17" t="s">
        <v>26</v>
      </c>
      <c r="J6" s="17" t="s">
        <v>26</v>
      </c>
      <c r="K6" s="18" t="s">
        <v>26</v>
      </c>
      <c r="L6" s="16" t="s">
        <v>26</v>
      </c>
      <c r="M6" s="17" t="s">
        <v>26</v>
      </c>
      <c r="N6" s="17" t="s">
        <v>26</v>
      </c>
      <c r="O6" s="18" t="s">
        <v>26</v>
      </c>
      <c r="P6" s="19" t="s">
        <v>26</v>
      </c>
      <c r="Q6" s="17" t="s">
        <v>26</v>
      </c>
      <c r="R6" s="236" t="s">
        <v>27</v>
      </c>
      <c r="S6" s="240" t="s">
        <v>110</v>
      </c>
      <c r="T6" s="14" t="s">
        <v>106</v>
      </c>
      <c r="U6" s="11" t="s">
        <v>107</v>
      </c>
      <c r="V6" s="11" t="s">
        <v>108</v>
      </c>
      <c r="W6" s="11" t="s">
        <v>109</v>
      </c>
    </row>
    <row r="7" spans="1:26" ht="15.75" thickBot="1" x14ac:dyDescent="0.3">
      <c r="B7" s="239" t="s">
        <v>61</v>
      </c>
      <c r="C7" s="235"/>
      <c r="D7" s="20">
        <v>1</v>
      </c>
      <c r="E7" s="21">
        <v>2</v>
      </c>
      <c r="F7" s="21">
        <v>3</v>
      </c>
      <c r="G7" s="22">
        <v>4</v>
      </c>
      <c r="H7" s="20">
        <v>5</v>
      </c>
      <c r="I7" s="21">
        <v>6</v>
      </c>
      <c r="J7" s="21">
        <v>7</v>
      </c>
      <c r="K7" s="22">
        <v>8</v>
      </c>
      <c r="L7" s="20">
        <v>9</v>
      </c>
      <c r="M7" s="21">
        <v>10</v>
      </c>
      <c r="N7" s="21">
        <v>11</v>
      </c>
      <c r="O7" s="22">
        <v>12</v>
      </c>
      <c r="P7" s="23">
        <v>13</v>
      </c>
      <c r="Q7" s="21">
        <v>14</v>
      </c>
      <c r="R7" s="237"/>
      <c r="S7" s="241"/>
    </row>
    <row r="8" spans="1:26" x14ac:dyDescent="0.25">
      <c r="B8" s="155" t="str">
        <f>'Produtos Técnicos'!B7</f>
        <v>8.1</v>
      </c>
      <c r="C8" s="37" t="str">
        <f>'Produtos Técnicos'!C7</f>
        <v>LEVANTAMENTO PLANIALTIMÉTRICO E BATIMÉTRICO</v>
      </c>
      <c r="D8" s="38">
        <v>1</v>
      </c>
      <c r="E8" s="39">
        <v>1</v>
      </c>
      <c r="F8" s="39"/>
      <c r="G8" s="40"/>
      <c r="H8" s="38"/>
      <c r="I8" s="39"/>
      <c r="J8" s="39"/>
      <c r="K8" s="40"/>
      <c r="L8" s="38"/>
      <c r="M8" s="39"/>
      <c r="N8" s="39"/>
      <c r="O8" s="40"/>
      <c r="P8" s="41"/>
      <c r="Q8" s="39"/>
      <c r="R8" s="42">
        <f>COUNTIF(D8:Q8,"=1")</f>
        <v>2</v>
      </c>
      <c r="S8" s="43">
        <f>'Produtos Técnicos'!D7</f>
        <v>16398.53253268492</v>
      </c>
      <c r="T8" s="1">
        <f>IF(SUM($D8:$G8)=$R8,$S8,0)</f>
        <v>16398.53253268492</v>
      </c>
      <c r="U8" s="1">
        <f>IF(SUM($D8:$K8)=$R8,IF($T8&lt;&gt;0,0,$S8),0)</f>
        <v>0</v>
      </c>
      <c r="V8" s="1">
        <f>IF(SUM($D8:$O8)=$R8,IF(OR($T8&lt;&gt;0,$U8&lt;&gt;0),0,$S8),0)</f>
        <v>0</v>
      </c>
      <c r="W8" s="1">
        <f>IF(SUM($D8:$Q8)=$R8,IF(OR($T8&lt;&gt;0,$U8&lt;&gt;0,$V8&lt;&gt;0),0,$S8),0)</f>
        <v>0</v>
      </c>
    </row>
    <row r="9" spans="1:26" x14ac:dyDescent="0.25">
      <c r="B9" s="156" t="str">
        <f>'Produtos Técnicos'!B8</f>
        <v>8.2</v>
      </c>
      <c r="C9" s="36" t="str">
        <f>'Produtos Técnicos'!C8</f>
        <v>ESTUDO GEOLÓGICO</v>
      </c>
      <c r="D9" s="44">
        <v>1</v>
      </c>
      <c r="E9" s="45">
        <v>1</v>
      </c>
      <c r="F9" s="45">
        <v>1</v>
      </c>
      <c r="G9" s="46"/>
      <c r="H9" s="44"/>
      <c r="I9" s="45"/>
      <c r="J9" s="45"/>
      <c r="K9" s="46"/>
      <c r="L9" s="44"/>
      <c r="M9" s="45"/>
      <c r="N9" s="45"/>
      <c r="O9" s="46"/>
      <c r="P9" s="47"/>
      <c r="Q9" s="45"/>
      <c r="R9" s="48">
        <f t="shared" ref="R9:R23" si="0">COUNTIF(D9:Q9,"=1")</f>
        <v>3</v>
      </c>
      <c r="S9" s="49">
        <f>'Produtos Técnicos'!D8</f>
        <v>40954.980984820621</v>
      </c>
      <c r="T9" s="1">
        <f t="shared" ref="T9:T23" si="1">IF(SUM($D9:$G9)=$R9,$S9,0)</f>
        <v>40954.980984820621</v>
      </c>
      <c r="U9" s="1">
        <f t="shared" ref="U9:U23" si="2">IF(SUM($D9:$K9)=$R9,IF($T9&lt;&gt;0,0,$S9),0)</f>
        <v>0</v>
      </c>
      <c r="V9" s="1">
        <f t="shared" ref="V9:V23" si="3">IF(SUM($D9:$O9)=$R9,IF(OR($T9&lt;&gt;0,$U9&lt;&gt;0),0,$S9),0)</f>
        <v>0</v>
      </c>
      <c r="W9" s="1">
        <f t="shared" ref="W9:W23" si="4">IF(SUM($D9:$Q9)=$R9,IF(OR($T9&lt;&gt;0,$U9&lt;&gt;0,$V9&lt;&gt;0),0,$S9),0)</f>
        <v>0</v>
      </c>
    </row>
    <row r="10" spans="1:26" x14ac:dyDescent="0.25">
      <c r="B10" s="156" t="str">
        <f>'Produtos Técnicos'!B9</f>
        <v>8.3</v>
      </c>
      <c r="C10" s="36" t="str">
        <f>'Produtos Técnicos'!C9</f>
        <v>ESTUDO HIDROLÓGICO</v>
      </c>
      <c r="D10" s="44">
        <v>1</v>
      </c>
      <c r="E10" s="45">
        <v>1</v>
      </c>
      <c r="F10" s="45"/>
      <c r="G10" s="46"/>
      <c r="H10" s="44"/>
      <c r="I10" s="45"/>
      <c r="J10" s="45"/>
      <c r="K10" s="46"/>
      <c r="L10" s="44"/>
      <c r="M10" s="45"/>
      <c r="N10" s="45"/>
      <c r="O10" s="46"/>
      <c r="P10" s="47"/>
      <c r="Q10" s="45"/>
      <c r="R10" s="48">
        <f t="shared" si="0"/>
        <v>2</v>
      </c>
      <c r="S10" s="49">
        <f>'Produtos Técnicos'!D9</f>
        <v>16011.055032420383</v>
      </c>
      <c r="T10" s="1">
        <f t="shared" si="1"/>
        <v>16011.055032420383</v>
      </c>
      <c r="U10" s="1">
        <f t="shared" si="2"/>
        <v>0</v>
      </c>
      <c r="V10" s="1">
        <f t="shared" si="3"/>
        <v>0</v>
      </c>
      <c r="W10" s="1">
        <f t="shared" si="4"/>
        <v>0</v>
      </c>
    </row>
    <row r="11" spans="1:26" x14ac:dyDescent="0.25">
      <c r="B11" s="156" t="str">
        <f>'Produtos Técnicos'!B10</f>
        <v>8.4</v>
      </c>
      <c r="C11" s="36" t="str">
        <f>'Produtos Técnicos'!C10</f>
        <v>ESTUDO AMBIENTAL</v>
      </c>
      <c r="D11" s="44">
        <v>1</v>
      </c>
      <c r="E11" s="45">
        <v>1</v>
      </c>
      <c r="F11" s="45">
        <v>1</v>
      </c>
      <c r="G11" s="46"/>
      <c r="H11" s="44"/>
      <c r="I11" s="45"/>
      <c r="J11" s="45"/>
      <c r="K11" s="46"/>
      <c r="L11" s="44"/>
      <c r="M11" s="45"/>
      <c r="N11" s="45"/>
      <c r="O11" s="46"/>
      <c r="P11" s="47"/>
      <c r="Q11" s="45"/>
      <c r="R11" s="48">
        <f t="shared" si="0"/>
        <v>3</v>
      </c>
      <c r="S11" s="49">
        <f>'Produtos Técnicos'!D10</f>
        <v>19995.739532013486</v>
      </c>
      <c r="T11" s="1">
        <f t="shared" si="1"/>
        <v>19995.739532013486</v>
      </c>
      <c r="U11" s="1">
        <f t="shared" si="2"/>
        <v>0</v>
      </c>
      <c r="V11" s="1">
        <f t="shared" si="3"/>
        <v>0</v>
      </c>
      <c r="W11" s="1">
        <f t="shared" si="4"/>
        <v>0</v>
      </c>
    </row>
    <row r="12" spans="1:26" x14ac:dyDescent="0.25">
      <c r="B12" s="156" t="str">
        <f>'Produtos Técnicos'!B11</f>
        <v>8.5</v>
      </c>
      <c r="C12" s="36" t="str">
        <f>'Produtos Técnicos'!C11</f>
        <v>ESTUDO DE VIABILIDADE TÉCNICA</v>
      </c>
      <c r="D12" s="44"/>
      <c r="E12" s="45"/>
      <c r="F12" s="45">
        <v>1</v>
      </c>
      <c r="G12" s="46"/>
      <c r="H12" s="44"/>
      <c r="I12" s="45"/>
      <c r="J12" s="45"/>
      <c r="K12" s="46"/>
      <c r="L12" s="44"/>
      <c r="M12" s="45"/>
      <c r="N12" s="45"/>
      <c r="O12" s="46"/>
      <c r="P12" s="47"/>
      <c r="Q12" s="45"/>
      <c r="R12" s="48">
        <f t="shared" si="0"/>
        <v>1</v>
      </c>
      <c r="S12" s="49">
        <f>'Produtos Técnicos'!D11</f>
        <v>10741.664136700332</v>
      </c>
      <c r="T12" s="1">
        <f t="shared" si="1"/>
        <v>10741.664136700332</v>
      </c>
      <c r="U12" s="1">
        <f t="shared" si="2"/>
        <v>0</v>
      </c>
      <c r="V12" s="1">
        <f t="shared" si="3"/>
        <v>0</v>
      </c>
      <c r="W12" s="1">
        <f t="shared" si="4"/>
        <v>0</v>
      </c>
    </row>
    <row r="13" spans="1:26" x14ac:dyDescent="0.25">
      <c r="B13" s="156" t="str">
        <f>'Produtos Técnicos'!B12</f>
        <v>8.6</v>
      </c>
      <c r="C13" s="36" t="str">
        <f>'Produtos Técnicos'!C12</f>
        <v>PROJETO GEOMÉTRICO (com Anteprojeto)</v>
      </c>
      <c r="D13" s="44"/>
      <c r="E13" s="45"/>
      <c r="F13" s="45"/>
      <c r="G13" s="46">
        <v>1</v>
      </c>
      <c r="H13" s="44">
        <v>1</v>
      </c>
      <c r="I13" s="45"/>
      <c r="J13" s="45"/>
      <c r="K13" s="46"/>
      <c r="L13" s="44"/>
      <c r="M13" s="45"/>
      <c r="N13" s="45"/>
      <c r="O13" s="46"/>
      <c r="P13" s="47"/>
      <c r="Q13" s="45"/>
      <c r="R13" s="48">
        <f t="shared" si="0"/>
        <v>2</v>
      </c>
      <c r="S13" s="49">
        <f>'Produtos Técnicos'!D12</f>
        <v>13039.206404174225</v>
      </c>
      <c r="T13" s="1">
        <f t="shared" si="1"/>
        <v>0</v>
      </c>
      <c r="U13" s="1">
        <f t="shared" si="2"/>
        <v>13039.206404174225</v>
      </c>
      <c r="V13" s="1">
        <f t="shared" si="3"/>
        <v>0</v>
      </c>
      <c r="W13" s="1">
        <f t="shared" si="4"/>
        <v>0</v>
      </c>
    </row>
    <row r="14" spans="1:26" x14ac:dyDescent="0.25">
      <c r="B14" s="156" t="str">
        <f>'Produtos Técnicos'!B13</f>
        <v>8.7</v>
      </c>
      <c r="C14" s="36" t="str">
        <f>'Produtos Técnicos'!C13</f>
        <v>PROJETO VIÁRIO (inclui sinalização)</v>
      </c>
      <c r="D14" s="44"/>
      <c r="E14" s="45"/>
      <c r="F14" s="45"/>
      <c r="G14" s="46"/>
      <c r="H14" s="44">
        <v>1</v>
      </c>
      <c r="I14" s="45"/>
      <c r="J14" s="45"/>
      <c r="K14" s="46"/>
      <c r="L14" s="44"/>
      <c r="M14" s="45"/>
      <c r="N14" s="45"/>
      <c r="O14" s="46"/>
      <c r="P14" s="47"/>
      <c r="Q14" s="45"/>
      <c r="R14" s="48">
        <f t="shared" si="0"/>
        <v>1</v>
      </c>
      <c r="S14" s="49">
        <f>'Produtos Técnicos'!D13</f>
        <v>3388.2783534859273</v>
      </c>
      <c r="T14" s="1">
        <f t="shared" si="1"/>
        <v>0</v>
      </c>
      <c r="U14" s="1">
        <f t="shared" si="2"/>
        <v>3388.2783534859273</v>
      </c>
      <c r="V14" s="1">
        <f t="shared" si="3"/>
        <v>0</v>
      </c>
      <c r="W14" s="1">
        <f t="shared" si="4"/>
        <v>0</v>
      </c>
    </row>
    <row r="15" spans="1:26" x14ac:dyDescent="0.25">
      <c r="B15" s="156" t="str">
        <f>'Produtos Técnicos'!B14</f>
        <v>8.8</v>
      </c>
      <c r="C15" s="36" t="str">
        <f>'Produtos Técnicos'!C14</f>
        <v>PROJETO DA OBRA DE ARTE ESPECIAL</v>
      </c>
      <c r="D15" s="44"/>
      <c r="E15" s="45"/>
      <c r="F15" s="45"/>
      <c r="G15" s="46"/>
      <c r="H15" s="44">
        <v>1</v>
      </c>
      <c r="I15" s="45">
        <v>1</v>
      </c>
      <c r="J15" s="45">
        <v>1</v>
      </c>
      <c r="K15" s="46">
        <v>1</v>
      </c>
      <c r="L15" s="44">
        <v>1</v>
      </c>
      <c r="M15" s="45">
        <v>1</v>
      </c>
      <c r="N15" s="45"/>
      <c r="O15" s="46"/>
      <c r="P15" s="47"/>
      <c r="Q15" s="45"/>
      <c r="R15" s="48">
        <f t="shared" si="0"/>
        <v>6</v>
      </c>
      <c r="S15" s="49">
        <f>'Produtos Técnicos'!D14</f>
        <v>85829.299276320322</v>
      </c>
      <c r="T15" s="1">
        <f t="shared" si="1"/>
        <v>0</v>
      </c>
      <c r="U15" s="1">
        <f t="shared" si="2"/>
        <v>0</v>
      </c>
      <c r="V15" s="1">
        <f t="shared" si="3"/>
        <v>85829.299276320322</v>
      </c>
      <c r="W15" s="1">
        <f t="shared" si="4"/>
        <v>0</v>
      </c>
    </row>
    <row r="16" spans="1:26" x14ac:dyDescent="0.25">
      <c r="B16" s="156" t="str">
        <f>'Produtos Técnicos'!B15</f>
        <v>8.9</v>
      </c>
      <c r="C16" s="36" t="str">
        <f>'Produtos Técnicos'!C15</f>
        <v>PROJETO DE TERRAPLENAGEM (com anteprojeto)</v>
      </c>
      <c r="D16" s="44"/>
      <c r="E16" s="45"/>
      <c r="F16" s="45"/>
      <c r="G16" s="46"/>
      <c r="H16" s="44"/>
      <c r="I16" s="45"/>
      <c r="J16" s="45">
        <v>1</v>
      </c>
      <c r="K16" s="46">
        <v>1</v>
      </c>
      <c r="L16" s="44"/>
      <c r="M16" s="45"/>
      <c r="N16" s="45"/>
      <c r="O16" s="46"/>
      <c r="P16" s="47"/>
      <c r="Q16" s="45"/>
      <c r="R16" s="48">
        <f t="shared" si="0"/>
        <v>2</v>
      </c>
      <c r="S16" s="49">
        <f>'Produtos Técnicos'!D15</f>
        <v>7564.9997582060641</v>
      </c>
      <c r="T16" s="1">
        <f t="shared" si="1"/>
        <v>0</v>
      </c>
      <c r="U16" s="1">
        <f t="shared" si="2"/>
        <v>7564.9997582060641</v>
      </c>
      <c r="V16" s="1">
        <f t="shared" si="3"/>
        <v>0</v>
      </c>
      <c r="W16" s="1">
        <f t="shared" si="4"/>
        <v>0</v>
      </c>
    </row>
    <row r="17" spans="2:23" x14ac:dyDescent="0.25">
      <c r="B17" s="156" t="str">
        <f>'Produtos Técnicos'!B16</f>
        <v>8.10</v>
      </c>
      <c r="C17" s="36" t="str">
        <f>'Produtos Técnicos'!C16</f>
        <v>PROJETO DE PAVIMENTAÇÃO</v>
      </c>
      <c r="D17" s="44"/>
      <c r="E17" s="45"/>
      <c r="F17" s="45"/>
      <c r="G17" s="46"/>
      <c r="H17" s="44"/>
      <c r="I17" s="45"/>
      <c r="J17" s="45"/>
      <c r="K17" s="46"/>
      <c r="L17" s="44">
        <v>1</v>
      </c>
      <c r="M17" s="45"/>
      <c r="N17" s="45"/>
      <c r="O17" s="46"/>
      <c r="P17" s="47"/>
      <c r="Q17" s="45"/>
      <c r="R17" s="48">
        <f t="shared" si="0"/>
        <v>1</v>
      </c>
      <c r="S17" s="49">
        <f>'Produtos Técnicos'!D16</f>
        <v>3388.2783534859273</v>
      </c>
      <c r="T17" s="1">
        <f t="shared" si="1"/>
        <v>0</v>
      </c>
      <c r="U17" s="1">
        <f t="shared" si="2"/>
        <v>0</v>
      </c>
      <c r="V17" s="1">
        <f t="shared" si="3"/>
        <v>3388.2783534859273</v>
      </c>
      <c r="W17" s="1">
        <f t="shared" si="4"/>
        <v>0</v>
      </c>
    </row>
    <row r="18" spans="2:23" x14ac:dyDescent="0.25">
      <c r="B18" s="156" t="str">
        <f>'Produtos Técnicos'!B17</f>
        <v>8.11</v>
      </c>
      <c r="C18" s="36" t="str">
        <f>'Produtos Técnicos'!C17</f>
        <v>PROJETO DE ILUMINAÇÃO PÚBLICA</v>
      </c>
      <c r="D18" s="44"/>
      <c r="E18" s="45"/>
      <c r="F18" s="45"/>
      <c r="G18" s="46"/>
      <c r="H18" s="44"/>
      <c r="I18" s="45"/>
      <c r="J18" s="45"/>
      <c r="K18" s="46"/>
      <c r="L18" s="44"/>
      <c r="M18" s="45">
        <v>1</v>
      </c>
      <c r="N18" s="45"/>
      <c r="O18" s="46"/>
      <c r="P18" s="47"/>
      <c r="Q18" s="45"/>
      <c r="R18" s="48">
        <f t="shared" si="0"/>
        <v>1</v>
      </c>
      <c r="S18" s="49">
        <f>'Produtos Técnicos'!D17</f>
        <v>4880.0671797409086</v>
      </c>
      <c r="T18" s="1">
        <f t="shared" si="1"/>
        <v>0</v>
      </c>
      <c r="U18" s="1">
        <f t="shared" si="2"/>
        <v>0</v>
      </c>
      <c r="V18" s="1">
        <f t="shared" si="3"/>
        <v>4880.0671797409086</v>
      </c>
      <c r="W18" s="1">
        <f t="shared" si="4"/>
        <v>0</v>
      </c>
    </row>
    <row r="19" spans="2:23" x14ac:dyDescent="0.25">
      <c r="B19" s="156" t="str">
        <f>'Produtos Técnicos'!B18</f>
        <v>8.12</v>
      </c>
      <c r="C19" s="36" t="str">
        <f>'Produtos Técnicos'!C18</f>
        <v>ASSESSORIA NO REMANEJAMENTO DE REDES PÚBLICAS</v>
      </c>
      <c r="D19" s="44"/>
      <c r="E19" s="45"/>
      <c r="F19" s="45"/>
      <c r="G19" s="46"/>
      <c r="H19" s="44"/>
      <c r="I19" s="45"/>
      <c r="J19" s="45"/>
      <c r="K19" s="46"/>
      <c r="L19" s="44"/>
      <c r="M19" s="45">
        <v>1</v>
      </c>
      <c r="N19" s="45"/>
      <c r="O19" s="46"/>
      <c r="P19" s="47"/>
      <c r="Q19" s="45">
        <v>1</v>
      </c>
      <c r="R19" s="48">
        <f t="shared" si="0"/>
        <v>2</v>
      </c>
      <c r="S19" s="49">
        <f>'Produtos Técnicos'!D18</f>
        <v>3969.6435495441274</v>
      </c>
      <c r="T19" s="1">
        <f t="shared" si="1"/>
        <v>0</v>
      </c>
      <c r="U19" s="1">
        <f t="shared" si="2"/>
        <v>0</v>
      </c>
      <c r="V19" s="1">
        <f t="shared" si="3"/>
        <v>0</v>
      </c>
      <c r="W19" s="1">
        <f t="shared" si="4"/>
        <v>3969.6435495441274</v>
      </c>
    </row>
    <row r="20" spans="2:23" x14ac:dyDescent="0.25">
      <c r="B20" s="156" t="str">
        <f>'Produtos Técnicos'!B19</f>
        <v>8.13</v>
      </c>
      <c r="C20" s="36" t="str">
        <f>'Produtos Técnicos'!C19</f>
        <v>PROJETO DE DEMOLIÇÃO</v>
      </c>
      <c r="D20" s="44"/>
      <c r="E20" s="45"/>
      <c r="F20" s="45"/>
      <c r="G20" s="46"/>
      <c r="H20" s="44"/>
      <c r="I20" s="45"/>
      <c r="J20" s="45"/>
      <c r="K20" s="46"/>
      <c r="L20" s="44"/>
      <c r="M20" s="45">
        <v>1</v>
      </c>
      <c r="N20" s="45"/>
      <c r="O20" s="46"/>
      <c r="P20" s="47"/>
      <c r="Q20" s="45"/>
      <c r="R20" s="48">
        <f t="shared" si="0"/>
        <v>1</v>
      </c>
      <c r="S20" s="49">
        <f>'Produtos Técnicos'!D19</f>
        <v>6618.4139545753405</v>
      </c>
      <c r="T20" s="1">
        <f t="shared" si="1"/>
        <v>0</v>
      </c>
      <c r="U20" s="1">
        <f t="shared" si="2"/>
        <v>0</v>
      </c>
      <c r="V20" s="1">
        <f t="shared" si="3"/>
        <v>6618.4139545753405</v>
      </c>
      <c r="W20" s="1">
        <f t="shared" si="4"/>
        <v>0</v>
      </c>
    </row>
    <row r="21" spans="2:23" x14ac:dyDescent="0.25">
      <c r="B21" s="156" t="str">
        <f>'Produtos Técnicos'!B20</f>
        <v>8.14</v>
      </c>
      <c r="C21" s="36" t="str">
        <f>'Produtos Técnicos'!C20</f>
        <v>PLANO DE EXECUÇÃO DE OBRA</v>
      </c>
      <c r="D21" s="44"/>
      <c r="E21" s="45"/>
      <c r="F21" s="45"/>
      <c r="G21" s="46"/>
      <c r="H21" s="44"/>
      <c r="I21" s="45"/>
      <c r="J21" s="45"/>
      <c r="K21" s="46"/>
      <c r="L21" s="44"/>
      <c r="M21" s="45"/>
      <c r="N21" s="45">
        <v>1</v>
      </c>
      <c r="O21" s="46"/>
      <c r="P21" s="47"/>
      <c r="Q21" s="45"/>
      <c r="R21" s="48">
        <f t="shared" si="0"/>
        <v>1</v>
      </c>
      <c r="S21" s="49">
        <f>'Produtos Técnicos'!D20</f>
        <v>9487.7124427803974</v>
      </c>
      <c r="T21" s="1">
        <f t="shared" si="1"/>
        <v>0</v>
      </c>
      <c r="U21" s="1">
        <f t="shared" si="2"/>
        <v>0</v>
      </c>
      <c r="V21" s="1">
        <f t="shared" si="3"/>
        <v>9487.7124427803974</v>
      </c>
      <c r="W21" s="1">
        <f t="shared" si="4"/>
        <v>0</v>
      </c>
    </row>
    <row r="22" spans="2:23" x14ac:dyDescent="0.25">
      <c r="B22" s="156" t="str">
        <f>'Produtos Técnicos'!B21</f>
        <v>8.15</v>
      </c>
      <c r="C22" s="36" t="str">
        <f>'Produtos Técnicos'!C21</f>
        <v>ORÇAMENTO</v>
      </c>
      <c r="D22" s="44"/>
      <c r="E22" s="45"/>
      <c r="F22" s="45"/>
      <c r="G22" s="46"/>
      <c r="H22" s="44"/>
      <c r="I22" s="45"/>
      <c r="J22" s="45"/>
      <c r="K22" s="46"/>
      <c r="L22" s="44"/>
      <c r="M22" s="45"/>
      <c r="N22" s="45"/>
      <c r="O22" s="46">
        <v>1</v>
      </c>
      <c r="P22" s="47">
        <v>1</v>
      </c>
      <c r="Q22" s="45"/>
      <c r="R22" s="48">
        <f t="shared" si="0"/>
        <v>2</v>
      </c>
      <c r="S22" s="49">
        <f>'Produtos Técnicos'!D21</f>
        <v>10387.086592823522</v>
      </c>
      <c r="T22" s="1">
        <f t="shared" si="1"/>
        <v>0</v>
      </c>
      <c r="U22" s="1">
        <f t="shared" si="2"/>
        <v>0</v>
      </c>
      <c r="V22" s="1">
        <f t="shared" si="3"/>
        <v>0</v>
      </c>
      <c r="W22" s="1">
        <f t="shared" si="4"/>
        <v>10387.086592823522</v>
      </c>
    </row>
    <row r="23" spans="2:23" ht="15.75" thickBot="1" x14ac:dyDescent="0.3">
      <c r="B23" s="157" t="str">
        <f>'Produtos Técnicos'!B22</f>
        <v>8.16</v>
      </c>
      <c r="C23" s="50" t="str">
        <f>'Produtos Técnicos'!C22</f>
        <v>PROJETO EXECUTIVO PARA LICITAÇÃO</v>
      </c>
      <c r="D23" s="51"/>
      <c r="E23" s="52"/>
      <c r="F23" s="52"/>
      <c r="G23" s="53"/>
      <c r="H23" s="51"/>
      <c r="I23" s="52"/>
      <c r="J23" s="52"/>
      <c r="K23" s="53"/>
      <c r="L23" s="51"/>
      <c r="M23" s="52"/>
      <c r="N23" s="52"/>
      <c r="O23" s="53">
        <v>1</v>
      </c>
      <c r="P23" s="54">
        <v>1</v>
      </c>
      <c r="Q23" s="52">
        <v>1</v>
      </c>
      <c r="R23" s="55">
        <f t="shared" si="0"/>
        <v>3</v>
      </c>
      <c r="S23" s="56">
        <f>'Produtos Técnicos'!D22</f>
        <v>29586.431950609887</v>
      </c>
      <c r="T23" s="1">
        <f t="shared" si="1"/>
        <v>0</v>
      </c>
      <c r="U23" s="1">
        <f t="shared" si="2"/>
        <v>0</v>
      </c>
      <c r="V23" s="1">
        <f t="shared" si="3"/>
        <v>0</v>
      </c>
      <c r="W23" s="1">
        <f t="shared" si="4"/>
        <v>29586.431950609887</v>
      </c>
    </row>
    <row r="24" spans="2:23" ht="15.75" thickBot="1" x14ac:dyDescent="0.3">
      <c r="B24" s="27"/>
      <c r="C24" s="31" t="s">
        <v>111</v>
      </c>
      <c r="D24" s="27"/>
      <c r="E24" s="28"/>
      <c r="F24" s="231">
        <f>T24</f>
        <v>104101.97221863974</v>
      </c>
      <c r="G24" s="232"/>
      <c r="H24" s="27"/>
      <c r="I24" s="28"/>
      <c r="J24" s="231">
        <f>U24</f>
        <v>23992.484515866217</v>
      </c>
      <c r="K24" s="232"/>
      <c r="L24" s="27"/>
      <c r="M24" s="28"/>
      <c r="N24" s="231">
        <f>V24</f>
        <v>110203.77120690291</v>
      </c>
      <c r="O24" s="232"/>
      <c r="P24" s="233">
        <f>W24</f>
        <v>43943.162092977538</v>
      </c>
      <c r="Q24" s="231"/>
      <c r="R24" s="29"/>
      <c r="S24" s="30">
        <f>SUM(S8:S23)</f>
        <v>282241.39003438642</v>
      </c>
      <c r="T24" s="1">
        <f>SUM(T8:T23)</f>
        <v>104101.97221863974</v>
      </c>
      <c r="U24" s="1">
        <f>SUM(U8:U23)</f>
        <v>23992.484515866217</v>
      </c>
      <c r="V24" s="1">
        <f>SUM(V8:V23)</f>
        <v>110203.77120690291</v>
      </c>
      <c r="W24" s="1">
        <f>SUM(W8:W23)</f>
        <v>43943.162092977538</v>
      </c>
    </row>
  </sheetData>
  <mergeCells count="9">
    <mergeCell ref="B1:S1"/>
    <mergeCell ref="F24:G24"/>
    <mergeCell ref="J24:K24"/>
    <mergeCell ref="N24:O24"/>
    <mergeCell ref="P24:Q24"/>
    <mergeCell ref="C6:C7"/>
    <mergeCell ref="R6:R7"/>
    <mergeCell ref="B6:B7"/>
    <mergeCell ref="S6:S7"/>
  </mergeCells>
  <conditionalFormatting sqref="D14:L14 N14:Q14 D8:Q13 D15:Q23">
    <cfRule type="cellIs" dxfId="1" priority="2" operator="equal">
      <formula>1</formula>
    </cfRule>
  </conditionalFormatting>
  <conditionalFormatting sqref="M14">
    <cfRule type="cellIs" dxfId="0" priority="1" operator="equal">
      <formula>1</formula>
    </cfRule>
  </conditionalFormatting>
  <pageMargins left="0.23622047244094491" right="0.23622047244094491" top="0.98425196850393704" bottom="0.39370078740157483" header="0.31496062992125984" footer="0.31496062992125984"/>
  <pageSetup paperSize="9" scale="73"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E4D4B9-F52D-4D0D-9B7F-E3A418FEC7D1}">
  <sheetPr>
    <pageSetUpPr fitToPage="1"/>
  </sheetPr>
  <dimension ref="A1:Z53"/>
  <sheetViews>
    <sheetView zoomScale="85" zoomScaleNormal="85" workbookViewId="0">
      <selection activeCell="B1" sqref="B1:E1"/>
    </sheetView>
  </sheetViews>
  <sheetFormatPr defaultRowHeight="15" x14ac:dyDescent="0.25"/>
  <cols>
    <col min="1" max="1" width="4.28515625" customWidth="1"/>
    <col min="2" max="2" width="13.5703125" customWidth="1"/>
    <col min="3" max="3" width="34.7109375" bestFit="1" customWidth="1"/>
    <col min="4" max="4" width="10.140625" bestFit="1" customWidth="1"/>
    <col min="5" max="5" width="35.5703125" style="6" customWidth="1"/>
  </cols>
  <sheetData>
    <row r="1" spans="1:26" ht="21.75" thickBot="1" x14ac:dyDescent="0.4">
      <c r="B1" s="244" t="s">
        <v>174</v>
      </c>
      <c r="C1" s="245"/>
      <c r="D1" s="245"/>
      <c r="E1" s="246"/>
    </row>
    <row r="2" spans="1:26" ht="29.25" customHeight="1" x14ac:dyDescent="0.25">
      <c r="A2" s="5"/>
      <c r="B2" s="161" t="s">
        <v>158</v>
      </c>
      <c r="C2" s="242" t="s">
        <v>162</v>
      </c>
      <c r="D2" s="242"/>
      <c r="E2" s="243"/>
      <c r="F2" s="5"/>
      <c r="G2" s="5"/>
      <c r="H2" s="5"/>
      <c r="I2" s="5"/>
      <c r="J2" s="5"/>
      <c r="K2" s="5"/>
      <c r="L2" s="5"/>
      <c r="M2" s="5"/>
      <c r="N2" s="5"/>
      <c r="O2" s="5"/>
      <c r="P2" s="5"/>
      <c r="Q2" s="5"/>
      <c r="R2" s="5"/>
      <c r="S2" s="5"/>
      <c r="T2" s="148"/>
      <c r="U2" s="148"/>
      <c r="V2" s="149"/>
      <c r="W2" s="150"/>
      <c r="X2" s="5"/>
      <c r="Y2" s="5"/>
      <c r="Z2" s="153"/>
    </row>
    <row r="3" spans="1:26" x14ac:dyDescent="0.25">
      <c r="A3" s="5"/>
      <c r="B3" s="161" t="s">
        <v>159</v>
      </c>
      <c r="C3" s="164" t="s">
        <v>176</v>
      </c>
      <c r="D3" s="165"/>
      <c r="E3" s="166"/>
      <c r="F3" s="5"/>
      <c r="G3" s="5"/>
      <c r="H3" s="5"/>
      <c r="I3" s="5"/>
      <c r="J3" s="5"/>
      <c r="K3" s="5"/>
      <c r="L3" s="5"/>
      <c r="M3" s="5"/>
      <c r="N3" s="5"/>
      <c r="O3" s="5"/>
      <c r="P3" s="5"/>
      <c r="Q3" s="5"/>
      <c r="R3" s="5"/>
      <c r="S3" s="5"/>
      <c r="T3" s="148"/>
      <c r="U3" s="148"/>
      <c r="V3" s="149"/>
      <c r="W3" s="150"/>
      <c r="X3" s="5"/>
      <c r="Y3" s="5"/>
      <c r="Z3" s="153"/>
    </row>
    <row r="4" spans="1:26" ht="15.75" thickBot="1" x14ac:dyDescent="0.3">
      <c r="A4" s="5"/>
      <c r="B4" s="162" t="s">
        <v>202</v>
      </c>
      <c r="C4" s="168" t="s">
        <v>178</v>
      </c>
      <c r="D4" s="169"/>
      <c r="E4" s="170"/>
      <c r="F4" s="5"/>
      <c r="G4" s="5"/>
      <c r="H4" s="5"/>
      <c r="I4" s="5"/>
      <c r="J4" s="5"/>
      <c r="K4" s="5"/>
      <c r="L4" s="5"/>
      <c r="M4" s="5"/>
      <c r="N4" s="5"/>
      <c r="O4" s="5"/>
      <c r="P4" s="5"/>
      <c r="Q4" s="5"/>
      <c r="R4" s="5"/>
      <c r="S4" s="5"/>
      <c r="T4" s="148"/>
      <c r="U4" s="148"/>
      <c r="V4" s="149"/>
      <c r="W4" s="150"/>
      <c r="X4" s="5"/>
      <c r="Y4" s="5"/>
      <c r="Z4" s="153"/>
    </row>
    <row r="5" spans="1:26" ht="5.25" customHeight="1" thickBot="1" x14ac:dyDescent="0.3"/>
    <row r="6" spans="1:26" s="57" customFormat="1" ht="30.75" thickBot="1" x14ac:dyDescent="0.3">
      <c r="B6" s="58" t="s">
        <v>112</v>
      </c>
      <c r="C6" s="59" t="s">
        <v>113</v>
      </c>
      <c r="D6" s="59" t="s">
        <v>115</v>
      </c>
      <c r="E6" s="60" t="s">
        <v>114</v>
      </c>
    </row>
    <row r="7" spans="1:26" ht="30" x14ac:dyDescent="0.25">
      <c r="B7" s="73" t="s">
        <v>34</v>
      </c>
      <c r="C7" s="61" t="s">
        <v>99</v>
      </c>
      <c r="D7" s="74">
        <v>0.73660000000000003</v>
      </c>
      <c r="E7" s="89" t="s">
        <v>207</v>
      </c>
    </row>
    <row r="8" spans="1:26" ht="30" x14ac:dyDescent="0.25">
      <c r="B8" s="75" t="s">
        <v>35</v>
      </c>
      <c r="C8" s="62" t="s">
        <v>103</v>
      </c>
      <c r="D8" s="76">
        <v>0.2</v>
      </c>
      <c r="E8" s="63" t="s">
        <v>133</v>
      </c>
    </row>
    <row r="9" spans="1:26" ht="30.75" customHeight="1" x14ac:dyDescent="0.25">
      <c r="B9" s="75" t="s">
        <v>36</v>
      </c>
      <c r="C9" s="62" t="s">
        <v>100</v>
      </c>
      <c r="D9" s="76">
        <v>0.12</v>
      </c>
      <c r="E9" s="63" t="s">
        <v>132</v>
      </c>
    </row>
    <row r="10" spans="1:26" ht="30.75" thickBot="1" x14ac:dyDescent="0.3">
      <c r="B10" s="77" t="s">
        <v>37</v>
      </c>
      <c r="C10" s="64" t="s">
        <v>101</v>
      </c>
      <c r="D10" s="78">
        <f>(1/(1-SUM(D11,D12,D13,D14)))-1</f>
        <v>0.12549240292628006</v>
      </c>
      <c r="E10" s="65" t="s">
        <v>134</v>
      </c>
    </row>
    <row r="11" spans="1:26" x14ac:dyDescent="0.25">
      <c r="B11" s="80" t="s">
        <v>122</v>
      </c>
      <c r="C11" s="81" t="s">
        <v>119</v>
      </c>
      <c r="D11" s="82">
        <v>6.4999999999999997E-3</v>
      </c>
      <c r="E11" s="255"/>
    </row>
    <row r="12" spans="1:26" x14ac:dyDescent="0.25">
      <c r="B12" s="83" t="s">
        <v>123</v>
      </c>
      <c r="C12" s="84" t="s">
        <v>120</v>
      </c>
      <c r="D12" s="85">
        <v>0.03</v>
      </c>
      <c r="E12" s="256"/>
    </row>
    <row r="13" spans="1:26" x14ac:dyDescent="0.25">
      <c r="B13" s="83" t="s">
        <v>124</v>
      </c>
      <c r="C13" s="84" t="s">
        <v>127</v>
      </c>
      <c r="D13" s="85">
        <v>4.4999999999999998E-2</v>
      </c>
      <c r="E13" s="256"/>
    </row>
    <row r="14" spans="1:26" ht="15.75" thickBot="1" x14ac:dyDescent="0.3">
      <c r="B14" s="86" t="s">
        <v>125</v>
      </c>
      <c r="C14" s="87" t="s">
        <v>121</v>
      </c>
      <c r="D14" s="88">
        <v>0.03</v>
      </c>
      <c r="E14" s="257"/>
    </row>
    <row r="15" spans="1:26" ht="15.75" thickBot="1" x14ac:dyDescent="0.3">
      <c r="C15" s="8"/>
      <c r="D15" s="79"/>
    </row>
    <row r="16" spans="1:26" ht="37.5" customHeight="1" x14ac:dyDescent="0.35">
      <c r="B16" s="66" t="s">
        <v>102</v>
      </c>
      <c r="C16" s="71">
        <f>(1+D7+D8)*(1+D9)*(1+D10)</f>
        <v>2.4411840180078781</v>
      </c>
      <c r="D16" s="248" t="s">
        <v>117</v>
      </c>
      <c r="E16" s="249"/>
    </row>
    <row r="17" spans="2:5" ht="37.5" customHeight="1" thickBot="1" x14ac:dyDescent="0.4">
      <c r="B17" s="67" t="s">
        <v>52</v>
      </c>
      <c r="C17" s="72">
        <f>(1+D9)*(1+D10)</f>
        <v>1.2605514912774338</v>
      </c>
      <c r="D17" s="250" t="s">
        <v>116</v>
      </c>
      <c r="E17" s="251"/>
    </row>
    <row r="18" spans="2:5" ht="15.75" thickBot="1" x14ac:dyDescent="0.3"/>
    <row r="19" spans="2:5" x14ac:dyDescent="0.25">
      <c r="B19" s="70" t="s">
        <v>118</v>
      </c>
      <c r="C19" s="68"/>
      <c r="D19" s="68"/>
      <c r="E19" s="69"/>
    </row>
    <row r="20" spans="2:5" ht="98.25" customHeight="1" thickBot="1" x14ac:dyDescent="0.3">
      <c r="B20" s="252" t="s">
        <v>206</v>
      </c>
      <c r="C20" s="253"/>
      <c r="D20" s="253"/>
      <c r="E20" s="254"/>
    </row>
    <row r="53" spans="2:5" ht="29.25" customHeight="1" x14ac:dyDescent="0.25">
      <c r="B53" s="247" t="s">
        <v>126</v>
      </c>
      <c r="C53" s="247"/>
      <c r="D53" s="247"/>
      <c r="E53" s="247"/>
    </row>
  </sheetData>
  <mergeCells count="7">
    <mergeCell ref="C2:E2"/>
    <mergeCell ref="B1:E1"/>
    <mergeCell ref="B53:E53"/>
    <mergeCell ref="D16:E16"/>
    <mergeCell ref="D17:E17"/>
    <mergeCell ref="B20:E20"/>
    <mergeCell ref="E11:E14"/>
  </mergeCells>
  <pageMargins left="0.98425196850393704" right="0.39370078740157483" top="0.78740157480314965" bottom="0.78740157480314965" header="0.31496062992125984" footer="0.31496062992125984"/>
  <pageSetup paperSize="9" scale="93" fitToHeight="2"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Z41"/>
  <sheetViews>
    <sheetView zoomScale="85" zoomScaleNormal="85" workbookViewId="0">
      <selection activeCell="Z38" sqref="Z38"/>
    </sheetView>
  </sheetViews>
  <sheetFormatPr defaultRowHeight="15" x14ac:dyDescent="0.25"/>
  <cols>
    <col min="1" max="1" width="6.5703125" bestFit="1" customWidth="1"/>
    <col min="2" max="2" width="35.28515625" style="6" customWidth="1"/>
    <col min="3" max="3" width="12.140625" customWidth="1"/>
    <col min="4" max="19" width="11" customWidth="1"/>
    <col min="20" max="20" width="11.5703125" bestFit="1" customWidth="1"/>
    <col min="21" max="21" width="9.5703125" bestFit="1" customWidth="1"/>
    <col min="22" max="22" width="22.85546875" style="6" customWidth="1"/>
    <col min="23" max="23" width="9" style="141" bestFit="1" customWidth="1"/>
    <col min="24" max="24" width="8.140625" customWidth="1"/>
    <col min="25" max="25" width="10.5703125" bestFit="1" customWidth="1"/>
    <col min="26" max="26" width="11.5703125" style="13" bestFit="1" customWidth="1"/>
  </cols>
  <sheetData>
    <row r="1" spans="1:26" ht="36" customHeight="1" thickBot="1" x14ac:dyDescent="0.3">
      <c r="A1" s="228" t="s">
        <v>157</v>
      </c>
      <c r="B1" s="229"/>
      <c r="C1" s="229"/>
      <c r="D1" s="229"/>
      <c r="E1" s="229"/>
      <c r="F1" s="229"/>
      <c r="G1" s="229"/>
      <c r="H1" s="229"/>
      <c r="I1" s="229"/>
      <c r="J1" s="229"/>
      <c r="K1" s="229"/>
      <c r="L1" s="229"/>
      <c r="M1" s="229"/>
      <c r="N1" s="229"/>
      <c r="O1" s="229"/>
      <c r="P1" s="229"/>
      <c r="Q1" s="229"/>
      <c r="R1" s="229"/>
      <c r="S1" s="229"/>
      <c r="T1" s="229"/>
      <c r="U1" s="229"/>
      <c r="V1" s="229"/>
      <c r="W1" s="229"/>
      <c r="X1" s="229"/>
      <c r="Y1" s="229"/>
      <c r="Z1" s="230"/>
    </row>
    <row r="2" spans="1:26" s="5" customFormat="1" x14ac:dyDescent="0.25">
      <c r="A2" s="174"/>
      <c r="B2" s="175" t="s">
        <v>158</v>
      </c>
      <c r="C2" s="164" t="s">
        <v>162</v>
      </c>
      <c r="D2" s="165"/>
      <c r="E2" s="165"/>
      <c r="F2" s="165"/>
      <c r="G2" s="165"/>
      <c r="H2" s="165"/>
      <c r="I2" s="165"/>
      <c r="J2" s="165"/>
      <c r="K2" s="165"/>
      <c r="L2" s="165"/>
      <c r="M2" s="165"/>
      <c r="N2" s="165"/>
      <c r="O2" s="165"/>
      <c r="P2" s="165"/>
      <c r="Q2" s="165"/>
      <c r="R2" s="165"/>
      <c r="S2" s="165"/>
      <c r="T2" s="165"/>
      <c r="U2" s="165"/>
      <c r="V2" s="176"/>
      <c r="W2" s="177"/>
      <c r="X2" s="165"/>
      <c r="Y2" s="165"/>
      <c r="Z2" s="178"/>
    </row>
    <row r="3" spans="1:26" s="5" customFormat="1" x14ac:dyDescent="0.25">
      <c r="A3" s="174"/>
      <c r="B3" s="175" t="s">
        <v>159</v>
      </c>
      <c r="C3" s="164" t="s">
        <v>176</v>
      </c>
      <c r="D3" s="165"/>
      <c r="E3" s="165"/>
      <c r="F3" s="165"/>
      <c r="G3" s="165"/>
      <c r="H3" s="165"/>
      <c r="I3" s="165"/>
      <c r="J3" s="165"/>
      <c r="K3" s="165"/>
      <c r="L3" s="165"/>
      <c r="M3" s="165"/>
      <c r="N3" s="165"/>
      <c r="O3" s="165"/>
      <c r="P3" s="165"/>
      <c r="Q3" s="165"/>
      <c r="R3" s="165"/>
      <c r="S3" s="165"/>
      <c r="T3" s="165"/>
      <c r="U3" s="165"/>
      <c r="V3" s="176"/>
      <c r="W3" s="177"/>
      <c r="X3" s="165"/>
      <c r="Y3" s="165"/>
      <c r="Z3" s="178"/>
    </row>
    <row r="4" spans="1:26" s="5" customFormat="1" ht="15.75" thickBot="1" x14ac:dyDescent="0.3">
      <c r="A4" s="179"/>
      <c r="B4" s="180" t="s">
        <v>202</v>
      </c>
      <c r="C4" s="168" t="s">
        <v>178</v>
      </c>
      <c r="D4" s="169"/>
      <c r="E4" s="169"/>
      <c r="F4" s="169"/>
      <c r="G4" s="169"/>
      <c r="H4" s="169"/>
      <c r="I4" s="169"/>
      <c r="J4" s="169"/>
      <c r="K4" s="169"/>
      <c r="L4" s="169"/>
      <c r="M4" s="169"/>
      <c r="N4" s="169"/>
      <c r="O4" s="169"/>
      <c r="P4" s="169"/>
      <c r="Q4" s="169"/>
      <c r="R4" s="169"/>
      <c r="S4" s="169"/>
      <c r="T4" s="169"/>
      <c r="U4" s="169"/>
      <c r="V4" s="181"/>
      <c r="W4" s="182"/>
      <c r="X4" s="169"/>
      <c r="Y4" s="169"/>
      <c r="Z4" s="183"/>
    </row>
    <row r="5" spans="1:26" s="5" customFormat="1" ht="15.75" thickBot="1" x14ac:dyDescent="0.3">
      <c r="B5" s="10"/>
      <c r="V5" s="10"/>
      <c r="W5" s="154"/>
      <c r="Z5" s="153"/>
    </row>
    <row r="6" spans="1:26" ht="100.5" customHeight="1" thickBot="1" x14ac:dyDescent="0.3">
      <c r="A6" s="95" t="s">
        <v>149</v>
      </c>
      <c r="B6" s="96" t="s">
        <v>50</v>
      </c>
      <c r="C6" s="97" t="s">
        <v>151</v>
      </c>
      <c r="D6" s="98" t="str">
        <f>'Produtos Técnicos'!C7</f>
        <v>LEVANTAMENTO PLANIALTIMÉTRICO E BATIMÉTRICO</v>
      </c>
      <c r="E6" s="99" t="str">
        <f>'Produtos Técnicos'!C8</f>
        <v>ESTUDO GEOLÓGICO</v>
      </c>
      <c r="F6" s="99" t="str">
        <f>'Produtos Técnicos'!C9</f>
        <v>ESTUDO HIDROLÓGICO</v>
      </c>
      <c r="G6" s="99" t="str">
        <f>'Produtos Técnicos'!C10</f>
        <v>ESTUDO AMBIENTAL</v>
      </c>
      <c r="H6" s="99" t="str">
        <f>'Produtos Técnicos'!C11</f>
        <v>ESTUDO DE VIABILIDADE TÉCNICA</v>
      </c>
      <c r="I6" s="99" t="str">
        <f>'Produtos Técnicos'!C12</f>
        <v>PROJETO GEOMÉTRICO (com Anteprojeto)</v>
      </c>
      <c r="J6" s="99" t="str">
        <f>'Produtos Técnicos'!C13</f>
        <v>PROJETO VIÁRIO (inclui sinalização)</v>
      </c>
      <c r="K6" s="99" t="str">
        <f>'Produtos Técnicos'!C14</f>
        <v>PROJETO DA OBRA DE ARTE ESPECIAL</v>
      </c>
      <c r="L6" s="99" t="str">
        <f>'Produtos Técnicos'!C15</f>
        <v>PROJETO DE TERRAPLENAGEM (com anteprojeto)</v>
      </c>
      <c r="M6" s="99" t="str">
        <f>'Produtos Técnicos'!C16</f>
        <v>PROJETO DE PAVIMENTAÇÃO</v>
      </c>
      <c r="N6" s="99" t="str">
        <f>'Produtos Técnicos'!C17</f>
        <v>PROJETO DE ILUMINAÇÃO PÚBLICA</v>
      </c>
      <c r="O6" s="99" t="str">
        <f>'Produtos Técnicos'!C18</f>
        <v>ASSESSORIA NO REMANEJAMENTO DE REDES PÚBLICAS</v>
      </c>
      <c r="P6" s="99" t="str">
        <f>'Produtos Técnicos'!C19</f>
        <v>PROJETO DE DEMOLIÇÃO</v>
      </c>
      <c r="Q6" s="99" t="str">
        <f>'Produtos Técnicos'!C20</f>
        <v>PLANO DE EXECUÇÃO DE OBRA</v>
      </c>
      <c r="R6" s="99" t="str">
        <f>'Produtos Técnicos'!C21</f>
        <v>ORÇAMENTO</v>
      </c>
      <c r="S6" s="99" t="str">
        <f>'Produtos Técnicos'!C22</f>
        <v>PROJETO EXECUTIVO PARA LICITAÇÃO</v>
      </c>
      <c r="T6" s="99" t="s">
        <v>31</v>
      </c>
      <c r="U6" s="99" t="s">
        <v>41</v>
      </c>
      <c r="V6" s="99" t="s">
        <v>147</v>
      </c>
      <c r="W6" s="142" t="s">
        <v>33</v>
      </c>
      <c r="X6" s="139" t="s">
        <v>156</v>
      </c>
      <c r="Y6" s="139" t="s">
        <v>55</v>
      </c>
      <c r="Z6" s="140" t="s">
        <v>32</v>
      </c>
    </row>
    <row r="7" spans="1:26" s="2" customFormat="1" ht="15.95" customHeight="1" x14ac:dyDescent="0.25">
      <c r="A7" s="125"/>
      <c r="B7" s="119" t="s">
        <v>91</v>
      </c>
      <c r="C7" s="120"/>
      <c r="D7" s="120"/>
      <c r="E7" s="120"/>
      <c r="F7" s="120"/>
      <c r="G7" s="120"/>
      <c r="H7" s="120"/>
      <c r="I7" s="120"/>
      <c r="J7" s="120"/>
      <c r="K7" s="120"/>
      <c r="L7" s="120"/>
      <c r="M7" s="120"/>
      <c r="N7" s="120"/>
      <c r="O7" s="120"/>
      <c r="P7" s="120"/>
      <c r="Q7" s="120"/>
      <c r="R7" s="120"/>
      <c r="S7" s="120"/>
      <c r="T7" s="120"/>
      <c r="U7" s="120"/>
      <c r="V7" s="121"/>
      <c r="W7" s="143"/>
      <c r="X7" s="120"/>
      <c r="Y7" s="120"/>
      <c r="Z7" s="130"/>
    </row>
    <row r="8" spans="1:26" s="12" customFormat="1" ht="12" x14ac:dyDescent="0.2">
      <c r="A8" s="100"/>
      <c r="B8" s="101" t="s">
        <v>98</v>
      </c>
      <c r="C8" s="102"/>
      <c r="D8" s="103" t="s">
        <v>128</v>
      </c>
      <c r="E8" s="104" t="s">
        <v>128</v>
      </c>
      <c r="F8" s="104" t="s">
        <v>128</v>
      </c>
      <c r="G8" s="104" t="s">
        <v>128</v>
      </c>
      <c r="H8" s="104" t="s">
        <v>129</v>
      </c>
      <c r="I8" s="104" t="s">
        <v>130</v>
      </c>
      <c r="J8" s="104" t="s">
        <v>130</v>
      </c>
      <c r="K8" s="104" t="s">
        <v>129</v>
      </c>
      <c r="L8" s="104" t="s">
        <v>130</v>
      </c>
      <c r="M8" s="104" t="s">
        <v>130</v>
      </c>
      <c r="N8" s="104" t="s">
        <v>130</v>
      </c>
      <c r="O8" s="104" t="s">
        <v>130</v>
      </c>
      <c r="P8" s="104" t="s">
        <v>130</v>
      </c>
      <c r="Q8" s="104" t="s">
        <v>129</v>
      </c>
      <c r="R8" s="104" t="s">
        <v>129</v>
      </c>
      <c r="S8" s="104" t="s">
        <v>131</v>
      </c>
      <c r="T8" s="105"/>
      <c r="U8" s="105"/>
      <c r="V8" s="105"/>
      <c r="W8" s="144"/>
      <c r="X8" s="126"/>
      <c r="Y8" s="126"/>
      <c r="Z8" s="131"/>
    </row>
    <row r="9" spans="1:26" x14ac:dyDescent="0.25">
      <c r="A9" s="106"/>
      <c r="B9" s="107" t="s">
        <v>94</v>
      </c>
      <c r="C9" s="36"/>
      <c r="D9" s="108">
        <f>Cronograma!$R$8*IF(ORÇAMENTO!D$8="a",2,IF(ORÇAMENTO!D$8="b",4,IF(ORÇAMENTO!D$8="c",8,IF(ORÇAMENTO!D$8="d",1,"Erro"))))</f>
        <v>2</v>
      </c>
      <c r="E9" s="33">
        <f>Cronograma!$R$9*IF(ORÇAMENTO!E$8="a",2,IF(ORÇAMENTO!E$8="b",4,IF(ORÇAMENTO!E$8="c",8,IF(ORÇAMENTO!E$8="d",1,"Erro"))))</f>
        <v>3</v>
      </c>
      <c r="F9" s="33">
        <f>Cronograma!$R$10*IF(ORÇAMENTO!F$8="a",2,IF(ORÇAMENTO!F$8="b",4,IF(ORÇAMENTO!F$8="c",8,IF(ORÇAMENTO!F$8="d",1,"Erro"))))</f>
        <v>2</v>
      </c>
      <c r="G9" s="33">
        <f>Cronograma!$R$11*IF(ORÇAMENTO!G$8="a",2,IF(ORÇAMENTO!G$8="b",4,IF(ORÇAMENTO!G$8="c",8,IF(ORÇAMENTO!G$8="d",1,"Erro"))))</f>
        <v>3</v>
      </c>
      <c r="H9" s="33">
        <f>Cronograma!$R$12*IF(ORÇAMENTO!H$8="a",2,IF(ORÇAMENTO!H$8="b",4,IF(ORÇAMENTO!H$8="c",8,IF(ORÇAMENTO!H$8="d",1,"Erro"))))</f>
        <v>4</v>
      </c>
      <c r="I9" s="33">
        <f>Cronograma!$R$13*IF(ORÇAMENTO!I$8="a",2,IF(ORÇAMENTO!I$8="b",4,IF(ORÇAMENTO!I$8="c",8,IF(ORÇAMENTO!I$8="d",1,"Erro"))))</f>
        <v>4</v>
      </c>
      <c r="J9" s="33">
        <f>Cronograma!$R$14*IF(ORÇAMENTO!J$8="a",2,IF(ORÇAMENTO!J$8="b",4,IF(ORÇAMENTO!J$8="c",8,IF(ORÇAMENTO!J$8="d",1,"Erro"))))</f>
        <v>2</v>
      </c>
      <c r="K9" s="33">
        <f>Cronograma!$R$15*IF(ORÇAMENTO!K$8="a",2,IF(ORÇAMENTO!K$8="b",4,IF(ORÇAMENTO!K$8="c",8,IF(ORÇAMENTO!K$8="d",1,"Erro"))))</f>
        <v>24</v>
      </c>
      <c r="L9" s="33">
        <f>Cronograma!$R$16*IF(ORÇAMENTO!L$8="a",2,IF(ORÇAMENTO!L$8="b",4,IF(ORÇAMENTO!L$8="c",8,IF(ORÇAMENTO!L$8="d",1,"Erro"))))</f>
        <v>4</v>
      </c>
      <c r="M9" s="33">
        <f>Cronograma!$R$17*IF(ORÇAMENTO!M$8="a",2,IF(ORÇAMENTO!M$8="b",4,IF(ORÇAMENTO!M$8="c",8,IF(ORÇAMENTO!M$8="d",1,"Erro"))))</f>
        <v>2</v>
      </c>
      <c r="N9" s="33">
        <f>Cronograma!$R$18*IF(ORÇAMENTO!N$8="a",2,IF(ORÇAMENTO!N$8="b",4,IF(ORÇAMENTO!N$8="c",8,IF(ORÇAMENTO!N$8="d",1,"Erro"))))</f>
        <v>2</v>
      </c>
      <c r="O9" s="33">
        <f>Cronograma!$R$19*IF(ORÇAMENTO!O$8="a",2,IF(ORÇAMENTO!O$8="b",4,IF(ORÇAMENTO!O$8="c",8,IF(ORÇAMENTO!O$8="d",1,"Erro"))))</f>
        <v>4</v>
      </c>
      <c r="P9" s="33">
        <f>Cronograma!$R$20*IF(ORÇAMENTO!P$8="a",2,IF(ORÇAMENTO!P$8="b",4,IF(ORÇAMENTO!P$8="c",8,IF(ORÇAMENTO!P$8="d",1,"Erro"))))</f>
        <v>2</v>
      </c>
      <c r="Q9" s="33">
        <f>Cronograma!$R$21*IF(ORÇAMENTO!Q$8="a",2,IF(ORÇAMENTO!Q$8="b",4,IF(ORÇAMENTO!Q$8="c",8,IF(ORÇAMENTO!Q$8="d",1,"Erro"))))</f>
        <v>4</v>
      </c>
      <c r="R9" s="33">
        <f>Cronograma!$R$22*IF(ORÇAMENTO!R$8="a",2,IF(ORÇAMENTO!R$8="b",4,IF(ORÇAMENTO!R$8="c",8,IF(ORÇAMENTO!R$8="d",1,"Erro"))))</f>
        <v>8</v>
      </c>
      <c r="S9" s="33">
        <f>Cronograma!$R$23*IF(ORÇAMENTO!S$8="a",2,IF(ORÇAMENTO!S$8="b",4,IF(ORÇAMENTO!S$8="c",8,IF(ORÇAMENTO!S$8="d",1,"Erro"))))</f>
        <v>24</v>
      </c>
      <c r="T9" s="33">
        <f>SUM(D9:S9)</f>
        <v>94</v>
      </c>
      <c r="U9" s="184">
        <f>153.91/2.1122</f>
        <v>72.867152731748888</v>
      </c>
      <c r="V9" s="109" t="s">
        <v>152</v>
      </c>
      <c r="W9" s="145">
        <v>1</v>
      </c>
      <c r="X9" s="127">
        <f>'Fator K e TRDE'!$C$16</f>
        <v>2.4411840180078781</v>
      </c>
      <c r="Y9" s="127">
        <f>IF(T9=0,0,U9*W9*X9)</f>
        <v>177.88212868648449</v>
      </c>
      <c r="Z9" s="132">
        <f>T9*Y9</f>
        <v>16720.920096529542</v>
      </c>
    </row>
    <row r="10" spans="1:26" x14ac:dyDescent="0.25">
      <c r="A10" s="106"/>
      <c r="B10" s="111" t="s">
        <v>92</v>
      </c>
      <c r="C10" s="112"/>
      <c r="D10" s="108"/>
      <c r="E10" s="33"/>
      <c r="F10" s="33"/>
      <c r="G10" s="33"/>
      <c r="H10" s="33"/>
      <c r="I10" s="33"/>
      <c r="J10" s="33"/>
      <c r="K10" s="33"/>
      <c r="L10" s="33"/>
      <c r="M10" s="33"/>
      <c r="N10" s="33"/>
      <c r="O10" s="33"/>
      <c r="P10" s="33"/>
      <c r="Q10" s="33"/>
      <c r="R10" s="33"/>
      <c r="S10" s="33"/>
      <c r="T10" s="33"/>
      <c r="U10" s="185"/>
      <c r="V10" s="109"/>
      <c r="W10" s="145"/>
      <c r="X10" s="138"/>
      <c r="Y10" s="127"/>
      <c r="Z10" s="132"/>
    </row>
    <row r="11" spans="1:26" x14ac:dyDescent="0.25">
      <c r="A11" s="106">
        <v>40</v>
      </c>
      <c r="B11" s="107" t="s">
        <v>95</v>
      </c>
      <c r="C11" s="36" t="s">
        <v>30</v>
      </c>
      <c r="D11" s="108"/>
      <c r="E11" s="33"/>
      <c r="F11" s="33"/>
      <c r="G11" s="33">
        <f>Cronograma!$R$11*A11</f>
        <v>120</v>
      </c>
      <c r="H11" s="33"/>
      <c r="I11" s="33"/>
      <c r="J11" s="33"/>
      <c r="K11" s="33"/>
      <c r="L11" s="33"/>
      <c r="M11" s="33"/>
      <c r="N11" s="33"/>
      <c r="O11" s="33"/>
      <c r="P11" s="33"/>
      <c r="Q11" s="33"/>
      <c r="R11" s="33"/>
      <c r="S11" s="33"/>
      <c r="T11" s="33">
        <f t="shared" ref="T11:T34" si="0">SUM(D11:S11)</f>
        <v>120</v>
      </c>
      <c r="U11" s="184">
        <f>112.32/2.1122</f>
        <v>53.176782501657037</v>
      </c>
      <c r="V11" s="109" t="s">
        <v>136</v>
      </c>
      <c r="W11" s="145">
        <v>1</v>
      </c>
      <c r="X11" s="127">
        <f>'Fator K e TRDE'!$C$16</f>
        <v>2.4411840180078781</v>
      </c>
      <c r="Y11" s="127">
        <f t="shared" ref="Y11:Y18" si="1">IF(T11=0,0,U11*W11*X11)</f>
        <v>129.81431157212614</v>
      </c>
      <c r="Z11" s="132">
        <f t="shared" ref="Z11:Z18" si="2">T11*Y11</f>
        <v>15577.717388655137</v>
      </c>
    </row>
    <row r="12" spans="1:26" ht="30" x14ac:dyDescent="0.25">
      <c r="A12" s="106">
        <v>40</v>
      </c>
      <c r="B12" s="107" t="s">
        <v>104</v>
      </c>
      <c r="C12" s="36" t="s">
        <v>30</v>
      </c>
      <c r="D12" s="108"/>
      <c r="E12" s="33"/>
      <c r="F12" s="33"/>
      <c r="G12" s="33"/>
      <c r="H12" s="33">
        <f>Cronograma!$R$12*A12</f>
        <v>40</v>
      </c>
      <c r="I12" s="33"/>
      <c r="J12" s="33"/>
      <c r="K12" s="33">
        <f>Cronograma!$R$15*A12</f>
        <v>240</v>
      </c>
      <c r="L12" s="33"/>
      <c r="M12" s="33"/>
      <c r="N12" s="33"/>
      <c r="O12" s="33"/>
      <c r="P12" s="33"/>
      <c r="Q12" s="33">
        <f>Cronograma!R21*A12</f>
        <v>40</v>
      </c>
      <c r="R12" s="33"/>
      <c r="S12" s="33">
        <f>Cronograma!R23*A12</f>
        <v>120</v>
      </c>
      <c r="T12" s="33">
        <f>SUM(D12:S12)</f>
        <v>440</v>
      </c>
      <c r="U12" s="184">
        <f>153.91/2.1122</f>
        <v>72.867152731748888</v>
      </c>
      <c r="V12" s="109" t="s">
        <v>135</v>
      </c>
      <c r="W12" s="145">
        <v>1</v>
      </c>
      <c r="X12" s="127">
        <f>'Fator K e TRDE'!$C$16</f>
        <v>2.4411840180078781</v>
      </c>
      <c r="Y12" s="127">
        <f t="shared" si="1"/>
        <v>177.88212868648449</v>
      </c>
      <c r="Z12" s="132">
        <f t="shared" si="2"/>
        <v>78268.136622053178</v>
      </c>
    </row>
    <row r="13" spans="1:26" x14ac:dyDescent="0.25">
      <c r="A13" s="106">
        <v>20</v>
      </c>
      <c r="B13" s="107" t="s">
        <v>96</v>
      </c>
      <c r="C13" s="36" t="s">
        <v>30</v>
      </c>
      <c r="D13" s="108"/>
      <c r="E13" s="33"/>
      <c r="F13" s="33"/>
      <c r="G13" s="33"/>
      <c r="H13" s="33"/>
      <c r="I13" s="33">
        <f>Cronograma!$R$13*A13</f>
        <v>40</v>
      </c>
      <c r="J13" s="33">
        <f>Cronograma!$R$14*A13</f>
        <v>20</v>
      </c>
      <c r="K13" s="33"/>
      <c r="L13" s="33">
        <f>Cronograma!$R$16*A13</f>
        <v>40</v>
      </c>
      <c r="M13" s="33">
        <f>Cronograma!$R$17*A13</f>
        <v>20</v>
      </c>
      <c r="N13" s="33"/>
      <c r="O13" s="33"/>
      <c r="P13" s="33"/>
      <c r="Q13" s="33"/>
      <c r="R13" s="33"/>
      <c r="S13" s="33"/>
      <c r="T13" s="33">
        <f t="shared" si="0"/>
        <v>120</v>
      </c>
      <c r="U13" s="184">
        <f>112.32/2.1122</f>
        <v>53.176782501657037</v>
      </c>
      <c r="V13" s="109" t="s">
        <v>136</v>
      </c>
      <c r="W13" s="145">
        <v>1</v>
      </c>
      <c r="X13" s="127">
        <f>'Fator K e TRDE'!$C$16</f>
        <v>2.4411840180078781</v>
      </c>
      <c r="Y13" s="127">
        <f t="shared" si="1"/>
        <v>129.81431157212614</v>
      </c>
      <c r="Z13" s="132">
        <f t="shared" si="2"/>
        <v>15577.717388655137</v>
      </c>
    </row>
    <row r="14" spans="1:26" x14ac:dyDescent="0.25">
      <c r="A14" s="106">
        <v>40</v>
      </c>
      <c r="B14" s="107" t="s">
        <v>56</v>
      </c>
      <c r="C14" s="36" t="s">
        <v>30</v>
      </c>
      <c r="D14" s="108"/>
      <c r="E14" s="33"/>
      <c r="F14" s="33"/>
      <c r="G14" s="33"/>
      <c r="H14" s="33"/>
      <c r="I14" s="33">
        <f>Cronograma!$R$13*A13</f>
        <v>40</v>
      </c>
      <c r="J14" s="33"/>
      <c r="K14" s="33">
        <f>Cronograma!$R$15*A14</f>
        <v>240</v>
      </c>
      <c r="L14" s="33"/>
      <c r="M14" s="33"/>
      <c r="N14" s="33"/>
      <c r="O14" s="33">
        <f>Cronograma!R19*A12*0.2</f>
        <v>16</v>
      </c>
      <c r="P14" s="33">
        <f>Cronograma!$R$20*A12</f>
        <v>40</v>
      </c>
      <c r="Q14" s="33"/>
      <c r="R14" s="33"/>
      <c r="S14" s="33"/>
      <c r="T14" s="33">
        <f t="shared" si="0"/>
        <v>336</v>
      </c>
      <c r="U14" s="184">
        <f>99.54/2.1122</f>
        <v>47.12621910803901</v>
      </c>
      <c r="V14" s="109" t="s">
        <v>137</v>
      </c>
      <c r="W14" s="145">
        <v>1</v>
      </c>
      <c r="X14" s="127">
        <f>'Fator K e TRDE'!$C$16</f>
        <v>2.4411840180078781</v>
      </c>
      <c r="Y14" s="127">
        <f t="shared" si="1"/>
        <v>115.04377291568231</v>
      </c>
      <c r="Z14" s="132">
        <f t="shared" si="2"/>
        <v>38654.707699669256</v>
      </c>
    </row>
    <row r="15" spans="1:26" x14ac:dyDescent="0.25">
      <c r="A15" s="106">
        <v>40</v>
      </c>
      <c r="B15" s="107" t="s">
        <v>105</v>
      </c>
      <c r="C15" s="36" t="s">
        <v>30</v>
      </c>
      <c r="D15" s="108"/>
      <c r="E15" s="33"/>
      <c r="F15" s="33"/>
      <c r="G15" s="33"/>
      <c r="H15" s="33"/>
      <c r="I15" s="33"/>
      <c r="J15" s="33"/>
      <c r="K15" s="33"/>
      <c r="L15" s="33"/>
      <c r="M15" s="33"/>
      <c r="N15" s="33"/>
      <c r="O15" s="33"/>
      <c r="P15" s="33"/>
      <c r="Q15" s="33"/>
      <c r="R15" s="33">
        <f>Cronograma!R22*A15</f>
        <v>80</v>
      </c>
      <c r="S15" s="33"/>
      <c r="T15" s="33">
        <f t="shared" si="0"/>
        <v>80</v>
      </c>
      <c r="U15" s="114">
        <f>96.95/2.1122</f>
        <v>45.900009468800306</v>
      </c>
      <c r="V15" s="109" t="s">
        <v>136</v>
      </c>
      <c r="W15" s="145">
        <v>1</v>
      </c>
      <c r="X15" s="127">
        <f>'Fator K e TRDE'!$C$16</f>
        <v>2.4411840180078781</v>
      </c>
      <c r="Y15" s="127">
        <f t="shared" si="1"/>
        <v>112.05036954164558</v>
      </c>
      <c r="Z15" s="132">
        <f t="shared" si="2"/>
        <v>8964.0295633316455</v>
      </c>
    </row>
    <row r="16" spans="1:26" x14ac:dyDescent="0.25">
      <c r="A16" s="106">
        <v>16</v>
      </c>
      <c r="B16" s="107" t="s">
        <v>203</v>
      </c>
      <c r="C16" s="36" t="s">
        <v>30</v>
      </c>
      <c r="D16" s="108"/>
      <c r="E16" s="33"/>
      <c r="F16" s="33"/>
      <c r="G16" s="33"/>
      <c r="H16" s="33">
        <f t="shared" ref="H16:S16" si="3">(SUM(H11:H14)/40)*$A$16</f>
        <v>16</v>
      </c>
      <c r="I16" s="33">
        <f t="shared" si="3"/>
        <v>32</v>
      </c>
      <c r="J16" s="33">
        <f t="shared" si="3"/>
        <v>8</v>
      </c>
      <c r="K16" s="33">
        <f t="shared" si="3"/>
        <v>192</v>
      </c>
      <c r="L16" s="33">
        <f t="shared" si="3"/>
        <v>16</v>
      </c>
      <c r="M16" s="33">
        <f t="shared" si="3"/>
        <v>8</v>
      </c>
      <c r="N16" s="33">
        <f t="shared" si="3"/>
        <v>0</v>
      </c>
      <c r="O16" s="33"/>
      <c r="P16" s="33">
        <f t="shared" si="3"/>
        <v>16</v>
      </c>
      <c r="Q16" s="33">
        <f t="shared" si="3"/>
        <v>16</v>
      </c>
      <c r="R16" s="33">
        <f t="shared" si="3"/>
        <v>0</v>
      </c>
      <c r="S16" s="33">
        <f t="shared" si="3"/>
        <v>48</v>
      </c>
      <c r="T16" s="33">
        <f t="shared" si="0"/>
        <v>352</v>
      </c>
      <c r="U16" s="114">
        <f>47.18/2.1122</f>
        <v>22.336899914780798</v>
      </c>
      <c r="V16" s="109" t="s">
        <v>138</v>
      </c>
      <c r="W16" s="145">
        <v>1</v>
      </c>
      <c r="X16" s="127">
        <f>'Fator K e TRDE'!$C$16</f>
        <v>2.4411840180078781</v>
      </c>
      <c r="Y16" s="127">
        <f t="shared" si="1"/>
        <v>54.528483083804417</v>
      </c>
      <c r="Z16" s="132">
        <f t="shared" si="2"/>
        <v>19194.026045499155</v>
      </c>
    </row>
    <row r="17" spans="1:26" x14ac:dyDescent="0.25">
      <c r="A17" s="106">
        <v>40</v>
      </c>
      <c r="B17" s="107" t="s">
        <v>20</v>
      </c>
      <c r="C17" s="36" t="s">
        <v>30</v>
      </c>
      <c r="D17" s="108"/>
      <c r="E17" s="33"/>
      <c r="F17" s="33"/>
      <c r="G17" s="33"/>
      <c r="H17" s="33"/>
      <c r="I17" s="33"/>
      <c r="J17" s="33"/>
      <c r="K17" s="33"/>
      <c r="L17" s="33"/>
      <c r="M17" s="33"/>
      <c r="N17" s="33">
        <f>Cronograma!$R$18*A17</f>
        <v>40</v>
      </c>
      <c r="O17" s="33"/>
      <c r="P17" s="33"/>
      <c r="Q17" s="33"/>
      <c r="R17" s="33"/>
      <c r="S17" s="33"/>
      <c r="T17" s="33">
        <f>SUM(D17:S17)</f>
        <v>40</v>
      </c>
      <c r="U17" s="114">
        <f>80.81/2.1122</f>
        <v>38.258687624278004</v>
      </c>
      <c r="V17" s="109" t="s">
        <v>139</v>
      </c>
      <c r="W17" s="145">
        <v>1</v>
      </c>
      <c r="X17" s="127">
        <f>'Fator K e TRDE'!$C$16</f>
        <v>2.4411840180078781</v>
      </c>
      <c r="Y17" s="127">
        <f t="shared" si="1"/>
        <v>93.396496778343263</v>
      </c>
      <c r="Z17" s="132">
        <f t="shared" si="2"/>
        <v>3735.8598711337304</v>
      </c>
    </row>
    <row r="18" spans="1:26" ht="15.75" thickBot="1" x14ac:dyDescent="0.3">
      <c r="A18" s="106">
        <v>16</v>
      </c>
      <c r="B18" s="107" t="s">
        <v>97</v>
      </c>
      <c r="C18" s="36" t="s">
        <v>30</v>
      </c>
      <c r="D18" s="108"/>
      <c r="E18" s="33"/>
      <c r="F18" s="33"/>
      <c r="G18" s="33">
        <f>Cronograma!$R$11*A18</f>
        <v>48</v>
      </c>
      <c r="H18" s="33"/>
      <c r="I18" s="33"/>
      <c r="J18" s="33"/>
      <c r="K18" s="33"/>
      <c r="L18" s="33"/>
      <c r="M18" s="33"/>
      <c r="N18" s="33"/>
      <c r="O18" s="33"/>
      <c r="P18" s="33"/>
      <c r="Q18" s="33"/>
      <c r="R18" s="33"/>
      <c r="S18" s="33"/>
      <c r="T18" s="33">
        <f t="shared" ref="T18" si="4">SUM(D18:S18)</f>
        <v>48</v>
      </c>
      <c r="U18" s="114">
        <f>27.31/2.1122</f>
        <v>12.929646813748697</v>
      </c>
      <c r="V18" s="109" t="s">
        <v>140</v>
      </c>
      <c r="W18" s="145">
        <v>1</v>
      </c>
      <c r="X18" s="127">
        <f>'Fator K e TRDE'!$C$16</f>
        <v>2.4411840180078781</v>
      </c>
      <c r="Y18" s="127">
        <f t="shared" si="1"/>
        <v>31.563647160209804</v>
      </c>
      <c r="Z18" s="132">
        <f t="shared" si="2"/>
        <v>1515.0550636900707</v>
      </c>
    </row>
    <row r="19" spans="1:26" s="2" customFormat="1" ht="15.95" customHeight="1" x14ac:dyDescent="0.25">
      <c r="A19" s="125"/>
      <c r="B19" s="119" t="s">
        <v>93</v>
      </c>
      <c r="C19" s="120"/>
      <c r="D19" s="120"/>
      <c r="E19" s="120"/>
      <c r="F19" s="120"/>
      <c r="G19" s="120"/>
      <c r="H19" s="120"/>
      <c r="I19" s="120"/>
      <c r="J19" s="120"/>
      <c r="K19" s="120"/>
      <c r="L19" s="120"/>
      <c r="M19" s="120"/>
      <c r="N19" s="120"/>
      <c r="O19" s="120"/>
      <c r="P19" s="120"/>
      <c r="Q19" s="120"/>
      <c r="R19" s="120"/>
      <c r="S19" s="120"/>
      <c r="T19" s="120"/>
      <c r="U19" s="120"/>
      <c r="V19" s="121"/>
      <c r="W19" s="143"/>
      <c r="X19" s="120"/>
      <c r="Y19" s="120"/>
      <c r="Z19" s="130"/>
    </row>
    <row r="20" spans="1:26" ht="30" x14ac:dyDescent="0.25">
      <c r="A20" s="106"/>
      <c r="B20" s="107" t="s">
        <v>38</v>
      </c>
      <c r="C20" s="36" t="s">
        <v>2</v>
      </c>
      <c r="D20" s="108"/>
      <c r="E20" s="33">
        <f>4*15</f>
        <v>60</v>
      </c>
      <c r="F20" s="33"/>
      <c r="G20" s="33"/>
      <c r="H20" s="33"/>
      <c r="I20" s="33"/>
      <c r="J20" s="33"/>
      <c r="K20" s="33"/>
      <c r="L20" s="33"/>
      <c r="M20" s="33"/>
      <c r="N20" s="33"/>
      <c r="O20" s="33"/>
      <c r="P20" s="33"/>
      <c r="Q20" s="33"/>
      <c r="R20" s="33"/>
      <c r="S20" s="33"/>
      <c r="T20" s="33">
        <f t="shared" si="0"/>
        <v>60</v>
      </c>
      <c r="U20" s="33">
        <v>361.71</v>
      </c>
      <c r="V20" s="109" t="s">
        <v>141</v>
      </c>
      <c r="W20" s="145">
        <f>259.05/245.714</f>
        <v>1.0542744817145138</v>
      </c>
      <c r="X20" s="138"/>
      <c r="Y20" s="127">
        <f>IF(T20=0,0,U20*W20)</f>
        <v>381.34162278095675</v>
      </c>
      <c r="Z20" s="132">
        <f>T20*Y20</f>
        <v>22880.497366857406</v>
      </c>
    </row>
    <row r="21" spans="1:26" ht="30" x14ac:dyDescent="0.25">
      <c r="A21" s="106"/>
      <c r="B21" s="107" t="s">
        <v>40</v>
      </c>
      <c r="C21" s="36" t="s">
        <v>2</v>
      </c>
      <c r="D21" s="108"/>
      <c r="E21" s="33">
        <f>4*4</f>
        <v>16</v>
      </c>
      <c r="F21" s="33"/>
      <c r="G21" s="33"/>
      <c r="H21" s="33"/>
      <c r="I21" s="33"/>
      <c r="J21" s="33"/>
      <c r="K21" s="33"/>
      <c r="L21" s="33"/>
      <c r="M21" s="33"/>
      <c r="N21" s="33"/>
      <c r="O21" s="33"/>
      <c r="P21" s="33"/>
      <c r="Q21" s="33"/>
      <c r="R21" s="33"/>
      <c r="S21" s="33"/>
      <c r="T21" s="33">
        <f t="shared" si="0"/>
        <v>16</v>
      </c>
      <c r="U21" s="33">
        <v>363.89</v>
      </c>
      <c r="V21" s="109" t="s">
        <v>141</v>
      </c>
      <c r="W21" s="145">
        <f>259.05/245.714</f>
        <v>1.0542744817145138</v>
      </c>
      <c r="X21" s="138"/>
      <c r="Y21" s="127">
        <f>IF(T21=0,0,U21*W21)</f>
        <v>383.63994115109438</v>
      </c>
      <c r="Z21" s="132">
        <f t="shared" ref="Z21:Z26" si="5">T21*Y21</f>
        <v>6138.23905841751</v>
      </c>
    </row>
    <row r="22" spans="1:26" ht="30" x14ac:dyDescent="0.25">
      <c r="A22" s="106"/>
      <c r="B22" s="107" t="s">
        <v>39</v>
      </c>
      <c r="C22" s="36" t="s">
        <v>3</v>
      </c>
      <c r="D22" s="108"/>
      <c r="E22" s="115">
        <v>1</v>
      </c>
      <c r="F22" s="33"/>
      <c r="G22" s="33"/>
      <c r="H22" s="33"/>
      <c r="I22" s="33"/>
      <c r="J22" s="33"/>
      <c r="K22" s="33"/>
      <c r="L22" s="33"/>
      <c r="M22" s="33"/>
      <c r="N22" s="33"/>
      <c r="O22" s="33"/>
      <c r="P22" s="33"/>
      <c r="Q22" s="33"/>
      <c r="R22" s="33"/>
      <c r="S22" s="33"/>
      <c r="T22" s="33">
        <f t="shared" si="0"/>
        <v>1</v>
      </c>
      <c r="U22" s="33">
        <v>6390.38</v>
      </c>
      <c r="V22" s="109" t="s">
        <v>141</v>
      </c>
      <c r="W22" s="145">
        <f>259.05/245.714</f>
        <v>1.0542744817145138</v>
      </c>
      <c r="X22" s="138"/>
      <c r="Y22" s="127">
        <f t="shared" ref="Y22:Y26" si="6">IF(T22=0,0,U22*W22)</f>
        <v>6737.2145624587947</v>
      </c>
      <c r="Z22" s="132">
        <f t="shared" si="5"/>
        <v>6737.2145624587947</v>
      </c>
    </row>
    <row r="23" spans="1:26" ht="45" x14ac:dyDescent="0.25">
      <c r="A23" s="106"/>
      <c r="B23" s="107" t="s">
        <v>45</v>
      </c>
      <c r="C23" s="36" t="s">
        <v>3</v>
      </c>
      <c r="D23" s="108"/>
      <c r="E23" s="115">
        <f>4*2</f>
        <v>8</v>
      </c>
      <c r="F23" s="33"/>
      <c r="G23" s="33"/>
      <c r="H23" s="33"/>
      <c r="I23" s="33"/>
      <c r="J23" s="33"/>
      <c r="K23" s="33"/>
      <c r="L23" s="33"/>
      <c r="M23" s="33"/>
      <c r="N23" s="33"/>
      <c r="O23" s="33"/>
      <c r="P23" s="33"/>
      <c r="Q23" s="33"/>
      <c r="R23" s="33"/>
      <c r="S23" s="33"/>
      <c r="T23" s="33">
        <f t="shared" si="0"/>
        <v>8</v>
      </c>
      <c r="U23" s="33">
        <v>265.05</v>
      </c>
      <c r="V23" s="109" t="s">
        <v>141</v>
      </c>
      <c r="W23" s="145">
        <f>259.05/245.714</f>
        <v>1.0542744817145138</v>
      </c>
      <c r="X23" s="138"/>
      <c r="Y23" s="127">
        <f t="shared" si="6"/>
        <v>279.43545137843188</v>
      </c>
      <c r="Z23" s="132">
        <f t="shared" si="5"/>
        <v>2235.483611027455</v>
      </c>
    </row>
    <row r="24" spans="1:26" s="5" customFormat="1" x14ac:dyDescent="0.25">
      <c r="A24" s="106"/>
      <c r="B24" s="107" t="s">
        <v>29</v>
      </c>
      <c r="C24" s="36" t="s">
        <v>51</v>
      </c>
      <c r="D24" s="108"/>
      <c r="E24" s="115">
        <v>5</v>
      </c>
      <c r="F24" s="33"/>
      <c r="G24" s="33"/>
      <c r="H24" s="33"/>
      <c r="I24" s="33"/>
      <c r="J24" s="33"/>
      <c r="K24" s="33"/>
      <c r="L24" s="33"/>
      <c r="M24" s="33"/>
      <c r="N24" s="33"/>
      <c r="O24" s="33"/>
      <c r="P24" s="33"/>
      <c r="Q24" s="33"/>
      <c r="R24" s="33"/>
      <c r="S24" s="33"/>
      <c r="T24" s="33">
        <f t="shared" si="0"/>
        <v>5</v>
      </c>
      <c r="U24" s="33">
        <v>485.98</v>
      </c>
      <c r="V24" s="109" t="s">
        <v>148</v>
      </c>
      <c r="W24" s="145">
        <v>1</v>
      </c>
      <c r="X24" s="138"/>
      <c r="Y24" s="127">
        <f t="shared" si="6"/>
        <v>485.98</v>
      </c>
      <c r="Z24" s="132">
        <f t="shared" si="5"/>
        <v>2429.9</v>
      </c>
    </row>
    <row r="25" spans="1:26" ht="30" x14ac:dyDescent="0.25">
      <c r="A25" s="106"/>
      <c r="B25" s="107" t="s">
        <v>43</v>
      </c>
      <c r="C25" s="36" t="s">
        <v>42</v>
      </c>
      <c r="D25" s="108"/>
      <c r="E25" s="116"/>
      <c r="F25" s="33">
        <v>1</v>
      </c>
      <c r="G25" s="33"/>
      <c r="H25" s="33"/>
      <c r="I25" s="33"/>
      <c r="J25" s="33"/>
      <c r="K25" s="33"/>
      <c r="L25" s="33"/>
      <c r="M25" s="33"/>
      <c r="N25" s="33"/>
      <c r="O25" s="33"/>
      <c r="P25" s="33"/>
      <c r="Q25" s="33"/>
      <c r="R25" s="33"/>
      <c r="S25" s="33"/>
      <c r="T25" s="33">
        <f t="shared" si="0"/>
        <v>1</v>
      </c>
      <c r="U25" s="113">
        <v>14849.35</v>
      </c>
      <c r="V25" s="109" t="s">
        <v>141</v>
      </c>
      <c r="W25" s="145">
        <f>259.05/245.714</f>
        <v>1.0542744817145138</v>
      </c>
      <c r="X25" s="138"/>
      <c r="Y25" s="127">
        <f t="shared" si="6"/>
        <v>15655.290775047415</v>
      </c>
      <c r="Z25" s="132">
        <f t="shared" si="5"/>
        <v>15655.290775047415</v>
      </c>
    </row>
    <row r="26" spans="1:26" ht="30.75" thickBot="1" x14ac:dyDescent="0.3">
      <c r="A26" s="106"/>
      <c r="B26" s="107" t="s">
        <v>44</v>
      </c>
      <c r="C26" s="36" t="s">
        <v>42</v>
      </c>
      <c r="D26" s="108">
        <v>1</v>
      </c>
      <c r="E26" s="116"/>
      <c r="F26" s="33"/>
      <c r="G26" s="33"/>
      <c r="H26" s="33"/>
      <c r="I26" s="33"/>
      <c r="J26" s="33"/>
      <c r="K26" s="33"/>
      <c r="L26" s="33"/>
      <c r="M26" s="33"/>
      <c r="N26" s="33"/>
      <c r="O26" s="33"/>
      <c r="P26" s="33"/>
      <c r="Q26" s="33"/>
      <c r="R26" s="33"/>
      <c r="S26" s="33"/>
      <c r="T26" s="33">
        <f t="shared" si="0"/>
        <v>1</v>
      </c>
      <c r="U26" s="113">
        <v>15216.88</v>
      </c>
      <c r="V26" s="109" t="s">
        <v>141</v>
      </c>
      <c r="W26" s="145">
        <f>259.05/245.714</f>
        <v>1.0542744817145138</v>
      </c>
      <c r="X26" s="138"/>
      <c r="Y26" s="127">
        <f t="shared" si="6"/>
        <v>16042.76827531195</v>
      </c>
      <c r="Z26" s="132">
        <f t="shared" si="5"/>
        <v>16042.76827531195</v>
      </c>
    </row>
    <row r="27" spans="1:26" s="2" customFormat="1" ht="15.95" customHeight="1" x14ac:dyDescent="0.25">
      <c r="A27" s="125"/>
      <c r="B27" s="119" t="s">
        <v>22</v>
      </c>
      <c r="C27" s="120"/>
      <c r="D27" s="120"/>
      <c r="E27" s="120"/>
      <c r="F27" s="120"/>
      <c r="G27" s="120"/>
      <c r="H27" s="120"/>
      <c r="I27" s="120"/>
      <c r="J27" s="120"/>
      <c r="K27" s="120"/>
      <c r="L27" s="120"/>
      <c r="M27" s="120"/>
      <c r="N27" s="120"/>
      <c r="O27" s="120"/>
      <c r="P27" s="120"/>
      <c r="Q27" s="120"/>
      <c r="R27" s="120"/>
      <c r="S27" s="120"/>
      <c r="T27" s="120"/>
      <c r="U27" s="120"/>
      <c r="V27" s="121"/>
      <c r="W27" s="143"/>
      <c r="X27" s="120"/>
      <c r="Y27" s="120"/>
      <c r="Z27" s="130"/>
    </row>
    <row r="28" spans="1:26" x14ac:dyDescent="0.25">
      <c r="A28" s="106"/>
      <c r="B28" s="107" t="s">
        <v>23</v>
      </c>
      <c r="C28" s="36" t="s">
        <v>28</v>
      </c>
      <c r="D28" s="108">
        <v>0</v>
      </c>
      <c r="E28" s="33">
        <v>0</v>
      </c>
      <c r="F28" s="33">
        <v>0</v>
      </c>
      <c r="G28" s="33">
        <v>3</v>
      </c>
      <c r="H28" s="33">
        <v>3</v>
      </c>
      <c r="I28" s="33">
        <v>1</v>
      </c>
      <c r="J28" s="33"/>
      <c r="K28" s="33">
        <v>1</v>
      </c>
      <c r="L28" s="33">
        <v>1</v>
      </c>
      <c r="M28" s="33"/>
      <c r="N28" s="33">
        <v>1</v>
      </c>
      <c r="O28" s="33">
        <v>2</v>
      </c>
      <c r="P28" s="33">
        <v>1</v>
      </c>
      <c r="Q28" s="33">
        <v>1</v>
      </c>
      <c r="R28" s="33"/>
      <c r="S28" s="33">
        <v>1</v>
      </c>
      <c r="T28" s="116">
        <f t="shared" si="0"/>
        <v>15</v>
      </c>
      <c r="U28" s="116">
        <v>123</v>
      </c>
      <c r="V28" s="109" t="s">
        <v>141</v>
      </c>
      <c r="W28" s="145">
        <f t="shared" ref="W28:W29" si="7">259.05/245.714</f>
        <v>1.0542744817145138</v>
      </c>
      <c r="X28" s="127">
        <f>'Fator K e TRDE'!$C$17</f>
        <v>1.2605514912774338</v>
      </c>
      <c r="Y28" s="127">
        <f>IF(T28=0,0,U28*W28*X28)</f>
        <v>163.4629742273398</v>
      </c>
      <c r="Z28" s="132">
        <f>T28*Y28</f>
        <v>2451.9446134100972</v>
      </c>
    </row>
    <row r="29" spans="1:26" x14ac:dyDescent="0.25">
      <c r="A29" s="106"/>
      <c r="B29" s="107" t="s">
        <v>24</v>
      </c>
      <c r="C29" s="36" t="s">
        <v>28</v>
      </c>
      <c r="D29" s="108">
        <v>0</v>
      </c>
      <c r="E29" s="33">
        <v>0</v>
      </c>
      <c r="F29" s="33">
        <v>0</v>
      </c>
      <c r="G29" s="33">
        <v>3</v>
      </c>
      <c r="H29" s="33">
        <v>1</v>
      </c>
      <c r="I29" s="33">
        <v>1</v>
      </c>
      <c r="J29" s="33"/>
      <c r="K29" s="33">
        <v>1</v>
      </c>
      <c r="L29" s="33">
        <v>1</v>
      </c>
      <c r="M29" s="33"/>
      <c r="N29" s="33">
        <v>1</v>
      </c>
      <c r="O29" s="33">
        <v>1</v>
      </c>
      <c r="P29" s="33">
        <v>1</v>
      </c>
      <c r="Q29" s="33">
        <v>1</v>
      </c>
      <c r="R29" s="33"/>
      <c r="S29" s="33"/>
      <c r="T29" s="116">
        <f t="shared" si="0"/>
        <v>11</v>
      </c>
      <c r="U29" s="116">
        <v>123</v>
      </c>
      <c r="V29" s="109" t="s">
        <v>141</v>
      </c>
      <c r="W29" s="145">
        <f t="shared" si="7"/>
        <v>1.0542744817145138</v>
      </c>
      <c r="X29" s="127">
        <f>'Fator K e TRDE'!$C$17</f>
        <v>1.2605514912774338</v>
      </c>
      <c r="Y29" s="127">
        <f t="shared" ref="Y29:Y34" si="8">IF(T29=0,0,U29*W29*X29)</f>
        <v>163.4629742273398</v>
      </c>
      <c r="Z29" s="132">
        <f t="shared" ref="Z29:Z34" si="9">T29*Y29</f>
        <v>1798.0927165007379</v>
      </c>
    </row>
    <row r="30" spans="1:26" x14ac:dyDescent="0.25">
      <c r="A30" s="106"/>
      <c r="B30" s="107" t="s">
        <v>48</v>
      </c>
      <c r="C30" s="36" t="s">
        <v>49</v>
      </c>
      <c r="D30" s="108">
        <v>0</v>
      </c>
      <c r="E30" s="33">
        <f>ROUND(E28/30,3)</f>
        <v>0</v>
      </c>
      <c r="F30" s="33">
        <v>0</v>
      </c>
      <c r="G30" s="33">
        <f t="shared" ref="G30:S30" si="10">ROUND(G28/30,3)</f>
        <v>0.1</v>
      </c>
      <c r="H30" s="33">
        <f t="shared" si="10"/>
        <v>0.1</v>
      </c>
      <c r="I30" s="33">
        <f t="shared" si="10"/>
        <v>3.3000000000000002E-2</v>
      </c>
      <c r="J30" s="33">
        <f t="shared" si="10"/>
        <v>0</v>
      </c>
      <c r="K30" s="33">
        <f t="shared" si="10"/>
        <v>3.3000000000000002E-2</v>
      </c>
      <c r="L30" s="33">
        <f t="shared" si="10"/>
        <v>3.3000000000000002E-2</v>
      </c>
      <c r="M30" s="33">
        <f t="shared" si="10"/>
        <v>0</v>
      </c>
      <c r="N30" s="33">
        <f t="shared" si="10"/>
        <v>3.3000000000000002E-2</v>
      </c>
      <c r="O30" s="33">
        <f t="shared" si="10"/>
        <v>6.7000000000000004E-2</v>
      </c>
      <c r="P30" s="33">
        <f t="shared" si="10"/>
        <v>3.3000000000000002E-2</v>
      </c>
      <c r="Q30" s="33">
        <f t="shared" si="10"/>
        <v>3.3000000000000002E-2</v>
      </c>
      <c r="R30" s="33">
        <f t="shared" si="10"/>
        <v>0</v>
      </c>
      <c r="S30" s="33">
        <f t="shared" si="10"/>
        <v>3.3000000000000002E-2</v>
      </c>
      <c r="T30" s="137">
        <f>SUM(C30:S30)</f>
        <v>0.49800000000000011</v>
      </c>
      <c r="U30" s="116">
        <v>3003.49</v>
      </c>
      <c r="V30" s="109" t="s">
        <v>141</v>
      </c>
      <c r="W30" s="145">
        <f>259.05/245.714</f>
        <v>1.0542744817145138</v>
      </c>
      <c r="X30" s="127">
        <f>'Fator K e TRDE'!$C$17</f>
        <v>1.2605514912774338</v>
      </c>
      <c r="Y30" s="127">
        <f t="shared" si="8"/>
        <v>3991.5399061957132</v>
      </c>
      <c r="Z30" s="132">
        <f t="shared" si="9"/>
        <v>1987.7868732854656</v>
      </c>
    </row>
    <row r="31" spans="1:26" x14ac:dyDescent="0.25">
      <c r="A31" s="106"/>
      <c r="B31" s="107" t="s">
        <v>19</v>
      </c>
      <c r="C31" s="36" t="s">
        <v>30</v>
      </c>
      <c r="D31" s="108">
        <v>0</v>
      </c>
      <c r="E31" s="33">
        <f t="shared" ref="E31:S31" si="11">E28*8</f>
        <v>0</v>
      </c>
      <c r="F31" s="33">
        <v>0</v>
      </c>
      <c r="G31" s="33">
        <f t="shared" si="11"/>
        <v>24</v>
      </c>
      <c r="H31" s="33">
        <f t="shared" si="11"/>
        <v>24</v>
      </c>
      <c r="I31" s="33">
        <f t="shared" si="11"/>
        <v>8</v>
      </c>
      <c r="J31" s="33">
        <f t="shared" si="11"/>
        <v>0</v>
      </c>
      <c r="K31" s="33">
        <f t="shared" si="11"/>
        <v>8</v>
      </c>
      <c r="L31" s="33">
        <f t="shared" si="11"/>
        <v>8</v>
      </c>
      <c r="M31" s="33"/>
      <c r="N31" s="33">
        <f t="shared" si="11"/>
        <v>8</v>
      </c>
      <c r="O31" s="33">
        <f t="shared" si="11"/>
        <v>16</v>
      </c>
      <c r="P31" s="33">
        <f t="shared" si="11"/>
        <v>8</v>
      </c>
      <c r="Q31" s="33">
        <f t="shared" si="11"/>
        <v>8</v>
      </c>
      <c r="R31" s="33">
        <f t="shared" si="11"/>
        <v>0</v>
      </c>
      <c r="S31" s="33">
        <f t="shared" si="11"/>
        <v>8</v>
      </c>
      <c r="T31" s="116">
        <f t="shared" si="0"/>
        <v>120</v>
      </c>
      <c r="U31" s="116">
        <v>16.690000000000001</v>
      </c>
      <c r="V31" s="109" t="s">
        <v>21</v>
      </c>
      <c r="W31" s="145">
        <v>1</v>
      </c>
      <c r="X31" s="127">
        <f>'Fator K e TRDE'!$C$17</f>
        <v>1.2605514912774338</v>
      </c>
      <c r="Y31" s="127">
        <f t="shared" si="8"/>
        <v>21.038604389420371</v>
      </c>
      <c r="Z31" s="132">
        <f t="shared" si="9"/>
        <v>2524.6325267304446</v>
      </c>
    </row>
    <row r="32" spans="1:26" ht="30.75" thickBot="1" x14ac:dyDescent="0.3">
      <c r="A32" s="106"/>
      <c r="B32" s="107" t="s">
        <v>47</v>
      </c>
      <c r="C32" s="36" t="s">
        <v>53</v>
      </c>
      <c r="D32" s="117">
        <v>0</v>
      </c>
      <c r="E32" s="118">
        <f t="shared" ref="E32:S32" si="12">E28*141*2/14</f>
        <v>0</v>
      </c>
      <c r="F32" s="118">
        <v>0</v>
      </c>
      <c r="G32" s="118">
        <f t="shared" si="12"/>
        <v>60.428571428571431</v>
      </c>
      <c r="H32" s="118">
        <f t="shared" si="12"/>
        <v>60.428571428571431</v>
      </c>
      <c r="I32" s="118">
        <f t="shared" si="12"/>
        <v>20.142857142857142</v>
      </c>
      <c r="J32" s="118">
        <f t="shared" si="12"/>
        <v>0</v>
      </c>
      <c r="K32" s="118">
        <f t="shared" si="12"/>
        <v>20.142857142857142</v>
      </c>
      <c r="L32" s="118">
        <f t="shared" si="12"/>
        <v>20.142857142857142</v>
      </c>
      <c r="M32" s="118"/>
      <c r="N32" s="118">
        <f t="shared" si="12"/>
        <v>20.142857142857142</v>
      </c>
      <c r="O32" s="118">
        <f t="shared" si="12"/>
        <v>40.285714285714285</v>
      </c>
      <c r="P32" s="118">
        <f t="shared" si="12"/>
        <v>20.142857142857142</v>
      </c>
      <c r="Q32" s="118">
        <f t="shared" si="12"/>
        <v>20.142857142857142</v>
      </c>
      <c r="R32" s="118">
        <f t="shared" si="12"/>
        <v>0</v>
      </c>
      <c r="S32" s="118">
        <f t="shared" si="12"/>
        <v>20.142857142857142</v>
      </c>
      <c r="T32" s="116">
        <f t="shared" si="0"/>
        <v>302.14285714285717</v>
      </c>
      <c r="U32" s="116">
        <v>6.36</v>
      </c>
      <c r="V32" s="109" t="s">
        <v>142</v>
      </c>
      <c r="W32" s="145">
        <v>1</v>
      </c>
      <c r="X32" s="127">
        <f>'Fator K e TRDE'!$C$17</f>
        <v>1.2605514912774338</v>
      </c>
      <c r="Y32" s="127">
        <f t="shared" si="8"/>
        <v>8.0171074845244803</v>
      </c>
      <c r="Z32" s="132">
        <f t="shared" si="9"/>
        <v>2422.311761395611</v>
      </c>
    </row>
    <row r="33" spans="1:26" s="2" customFormat="1" ht="15.95" customHeight="1" x14ac:dyDescent="0.25">
      <c r="A33" s="125"/>
      <c r="B33" s="119" t="s">
        <v>25</v>
      </c>
      <c r="C33" s="120"/>
      <c r="D33" s="120"/>
      <c r="E33" s="120"/>
      <c r="F33" s="120"/>
      <c r="G33" s="120"/>
      <c r="H33" s="120"/>
      <c r="I33" s="120"/>
      <c r="J33" s="120"/>
      <c r="K33" s="120"/>
      <c r="L33" s="120"/>
      <c r="M33" s="120"/>
      <c r="N33" s="120"/>
      <c r="O33" s="120"/>
      <c r="P33" s="120"/>
      <c r="Q33" s="120"/>
      <c r="R33" s="120"/>
      <c r="S33" s="120"/>
      <c r="T33" s="120"/>
      <c r="U33" s="120"/>
      <c r="V33" s="121"/>
      <c r="W33" s="143"/>
      <c r="X33" s="120"/>
      <c r="Y33" s="120"/>
      <c r="Z33" s="130"/>
    </row>
    <row r="34" spans="1:26" ht="30" x14ac:dyDescent="0.25">
      <c r="A34" s="106"/>
      <c r="B34" s="107" t="s">
        <v>46</v>
      </c>
      <c r="C34" s="36" t="s">
        <v>0</v>
      </c>
      <c r="D34" s="108"/>
      <c r="E34" s="33"/>
      <c r="F34" s="33"/>
      <c r="G34" s="33"/>
      <c r="H34" s="33"/>
      <c r="I34" s="33"/>
      <c r="J34" s="33"/>
      <c r="K34" s="33"/>
      <c r="L34" s="33"/>
      <c r="M34" s="33"/>
      <c r="N34" s="33"/>
      <c r="O34" s="33"/>
      <c r="P34" s="33"/>
      <c r="Q34" s="33"/>
      <c r="R34" s="33"/>
      <c r="S34" s="33">
        <v>1</v>
      </c>
      <c r="T34" s="33">
        <f t="shared" si="0"/>
        <v>1</v>
      </c>
      <c r="U34" s="33">
        <v>548.59</v>
      </c>
      <c r="V34" s="109" t="s">
        <v>141</v>
      </c>
      <c r="W34" s="145">
        <f>259.05/245.714</f>
        <v>1.0542744817145138</v>
      </c>
      <c r="X34" s="127">
        <f>'Fator K e TRDE'!$C$17</f>
        <v>1.2605514912774338</v>
      </c>
      <c r="Y34" s="127">
        <f t="shared" si="8"/>
        <v>729.05815472663699</v>
      </c>
      <c r="Z34" s="132">
        <f t="shared" si="9"/>
        <v>729.05815472663699</v>
      </c>
    </row>
    <row r="35" spans="1:26" ht="15.75" thickBot="1" x14ac:dyDescent="0.3">
      <c r="A35" s="92"/>
      <c r="B35" s="94"/>
      <c r="C35" s="15"/>
      <c r="D35" s="93"/>
      <c r="E35" s="91"/>
      <c r="F35" s="91"/>
      <c r="G35" s="91"/>
      <c r="H35" s="91"/>
      <c r="I35" s="91"/>
      <c r="J35" s="91"/>
      <c r="K35" s="91"/>
      <c r="L35" s="91"/>
      <c r="M35" s="91"/>
      <c r="N35" s="91"/>
      <c r="O35" s="91"/>
      <c r="P35" s="91"/>
      <c r="Q35" s="91"/>
      <c r="R35" s="91"/>
      <c r="S35" s="91"/>
      <c r="T35" s="91"/>
      <c r="U35" s="91"/>
      <c r="V35" s="90"/>
      <c r="W35" s="146"/>
      <c r="X35" s="128"/>
      <c r="Y35" s="128"/>
      <c r="Z35" s="133"/>
    </row>
    <row r="36" spans="1:26" ht="15.75" thickBot="1" x14ac:dyDescent="0.3">
      <c r="A36" s="27"/>
      <c r="B36" s="136" t="s">
        <v>54</v>
      </c>
      <c r="C36" s="122"/>
      <c r="D36" s="134">
        <f t="shared" ref="D36:S36" si="13">SUMPRODUCT(D9:D34,$Y$9:$Y$34)</f>
        <v>16398.53253268492</v>
      </c>
      <c r="E36" s="134">
        <f t="shared" si="13"/>
        <v>40954.980984820621</v>
      </c>
      <c r="F36" s="134">
        <f t="shared" si="13"/>
        <v>16011.055032420383</v>
      </c>
      <c r="G36" s="134">
        <f t="shared" si="13"/>
        <v>19995.739532013486</v>
      </c>
      <c r="H36" s="134">
        <f t="shared" si="13"/>
        <v>10741.664136700332</v>
      </c>
      <c r="I36" s="134">
        <f t="shared" si="13"/>
        <v>13039.206404174225</v>
      </c>
      <c r="J36" s="134">
        <f t="shared" si="13"/>
        <v>3388.2783534859273</v>
      </c>
      <c r="K36" s="134">
        <f t="shared" si="13"/>
        <v>85829.299276320322</v>
      </c>
      <c r="L36" s="134">
        <f t="shared" si="13"/>
        <v>7564.9997582060641</v>
      </c>
      <c r="M36" s="134">
        <f t="shared" si="13"/>
        <v>3388.2783534859273</v>
      </c>
      <c r="N36" s="134">
        <f t="shared" si="13"/>
        <v>4880.0671797409086</v>
      </c>
      <c r="O36" s="134">
        <f t="shared" si="13"/>
        <v>3969.6435495441274</v>
      </c>
      <c r="P36" s="134">
        <f t="shared" si="13"/>
        <v>6618.4139545753405</v>
      </c>
      <c r="Q36" s="134">
        <f t="shared" si="13"/>
        <v>9487.7124427803974</v>
      </c>
      <c r="R36" s="134">
        <f t="shared" si="13"/>
        <v>10387.086592823522</v>
      </c>
      <c r="S36" s="134">
        <f t="shared" si="13"/>
        <v>29586.431950609887</v>
      </c>
      <c r="T36" s="135">
        <f>SUM(D36:S36)</f>
        <v>282241.39003438642</v>
      </c>
      <c r="U36" s="123"/>
      <c r="V36" s="124"/>
      <c r="W36" s="147"/>
      <c r="X36" s="129"/>
      <c r="Y36" s="129"/>
      <c r="Z36" s="30">
        <f>SUM(Z9:Z34)</f>
        <v>282241.39003438636</v>
      </c>
    </row>
    <row r="37" spans="1:26" ht="14.25" customHeight="1" x14ac:dyDescent="0.25"/>
    <row r="39" spans="1:26" x14ac:dyDescent="0.25">
      <c r="V39" s="258"/>
      <c r="W39" s="258"/>
    </row>
    <row r="41" spans="1:26" x14ac:dyDescent="0.25">
      <c r="V41" s="258"/>
      <c r="W41" s="258"/>
    </row>
  </sheetData>
  <mergeCells count="3">
    <mergeCell ref="A1:Z1"/>
    <mergeCell ref="V41:W41"/>
    <mergeCell ref="V39:W39"/>
  </mergeCells>
  <pageMargins left="0.51181102362204722" right="0.51181102362204722" top="0.78740157480314965" bottom="0.78740157480314965" header="0.31496062992125984" footer="0.31496062992125984"/>
  <pageSetup paperSize="9" scale="43"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6FD36F-F309-44DD-A7D6-42249D665FF8}">
  <sheetPr>
    <pageSetUpPr fitToPage="1"/>
  </sheetPr>
  <dimension ref="A1:P29"/>
  <sheetViews>
    <sheetView topLeftCell="A18" workbookViewId="0">
      <selection activeCell="G21" sqref="G21"/>
    </sheetView>
  </sheetViews>
  <sheetFormatPr defaultRowHeight="15" x14ac:dyDescent="0.25"/>
  <cols>
    <col min="1" max="1" width="31.140625" style="8" customWidth="1"/>
    <col min="2" max="2" width="11.85546875" style="7" customWidth="1"/>
    <col min="3" max="3" width="6" style="8" customWidth="1"/>
    <col min="4" max="4" width="70.85546875" style="4" customWidth="1"/>
    <col min="5" max="9" width="9.140625" style="8"/>
    <col min="10" max="10" width="44" style="8" customWidth="1"/>
    <col min="11" max="16384" width="9.140625" style="8"/>
  </cols>
  <sheetData>
    <row r="1" spans="1:16" customFormat="1" ht="18.75" x14ac:dyDescent="0.3">
      <c r="A1" s="259" t="s">
        <v>198</v>
      </c>
      <c r="B1" s="259"/>
      <c r="C1" s="259"/>
      <c r="D1" s="259"/>
      <c r="E1" s="196"/>
      <c r="F1" s="196"/>
      <c r="G1" s="196"/>
      <c r="H1" s="196"/>
      <c r="I1" s="196"/>
      <c r="J1" s="196"/>
      <c r="K1" s="196"/>
      <c r="L1" s="196"/>
      <c r="M1" s="196"/>
      <c r="N1" s="196"/>
      <c r="O1" s="165"/>
      <c r="P1" s="165"/>
    </row>
    <row r="2" spans="1:16" s="5" customFormat="1" ht="16.5" thickBot="1" x14ac:dyDescent="0.3">
      <c r="A2" s="197"/>
      <c r="B2" s="197"/>
      <c r="C2" s="197"/>
      <c r="D2" s="197"/>
      <c r="E2" s="197"/>
      <c r="F2" s="197"/>
      <c r="G2" s="197"/>
      <c r="H2" s="197"/>
      <c r="I2" s="197"/>
      <c r="J2" s="197"/>
      <c r="K2" s="197"/>
      <c r="L2" s="197"/>
      <c r="M2" s="197"/>
      <c r="N2" s="197"/>
      <c r="O2" s="165"/>
      <c r="P2" s="165"/>
    </row>
    <row r="3" spans="1:16" x14ac:dyDescent="0.25">
      <c r="A3" s="260" t="s">
        <v>81</v>
      </c>
      <c r="B3" s="261"/>
      <c r="C3" s="261"/>
      <c r="D3" s="262"/>
    </row>
    <row r="4" spans="1:16" ht="45" x14ac:dyDescent="0.25">
      <c r="A4" s="199" t="s">
        <v>79</v>
      </c>
      <c r="B4" s="200">
        <v>91.7</v>
      </c>
      <c r="C4" s="201" t="s">
        <v>85</v>
      </c>
      <c r="D4" s="202" t="s">
        <v>80</v>
      </c>
    </row>
    <row r="5" spans="1:16" ht="30" x14ac:dyDescent="0.25">
      <c r="A5" s="199" t="s">
        <v>82</v>
      </c>
      <c r="B5" s="200">
        <v>12.7</v>
      </c>
      <c r="C5" s="201" t="s">
        <v>2</v>
      </c>
      <c r="D5" s="202" t="s">
        <v>83</v>
      </c>
    </row>
    <row r="6" spans="1:16" x14ac:dyDescent="0.25">
      <c r="A6" s="199" t="s">
        <v>84</v>
      </c>
      <c r="B6" s="200">
        <f>B4*B5</f>
        <v>1164.5899999999999</v>
      </c>
      <c r="C6" s="201" t="s">
        <v>1</v>
      </c>
      <c r="D6" s="202" t="s">
        <v>86</v>
      </c>
    </row>
    <row r="7" spans="1:16" ht="30" x14ac:dyDescent="0.25">
      <c r="A7" s="199" t="s">
        <v>87</v>
      </c>
      <c r="B7" s="200">
        <v>4</v>
      </c>
      <c r="C7" s="201" t="s">
        <v>88</v>
      </c>
      <c r="D7" s="202" t="s">
        <v>89</v>
      </c>
    </row>
    <row r="8" spans="1:16" s="9" customFormat="1" ht="45" x14ac:dyDescent="0.25">
      <c r="A8" s="199" t="s">
        <v>90</v>
      </c>
      <c r="B8" s="200">
        <v>15</v>
      </c>
      <c r="C8" s="201" t="s">
        <v>2</v>
      </c>
      <c r="D8" s="202" t="s">
        <v>201</v>
      </c>
    </row>
    <row r="9" spans="1:16" ht="45.75" thickBot="1" x14ac:dyDescent="0.3">
      <c r="A9" s="199" t="s">
        <v>199</v>
      </c>
      <c r="B9" s="200">
        <v>4</v>
      </c>
      <c r="C9" s="201" t="s">
        <v>2</v>
      </c>
      <c r="D9" s="202" t="s">
        <v>200</v>
      </c>
    </row>
    <row r="10" spans="1:16" s="9" customFormat="1" x14ac:dyDescent="0.25">
      <c r="A10" s="263" t="s">
        <v>179</v>
      </c>
      <c r="B10" s="264"/>
      <c r="C10" s="264"/>
      <c r="D10" s="265"/>
    </row>
    <row r="11" spans="1:16" s="9" customFormat="1" ht="135" x14ac:dyDescent="0.25">
      <c r="A11" s="204" t="s">
        <v>181</v>
      </c>
      <c r="B11" s="205"/>
      <c r="C11" s="206"/>
      <c r="D11" s="202" t="s">
        <v>182</v>
      </c>
    </row>
    <row r="12" spans="1:16" s="9" customFormat="1" ht="45" x14ac:dyDescent="0.25">
      <c r="A12" s="204" t="s">
        <v>153</v>
      </c>
      <c r="B12" s="205"/>
      <c r="C12" s="206"/>
      <c r="D12" s="202" t="s">
        <v>154</v>
      </c>
    </row>
    <row r="13" spans="1:16" s="9" customFormat="1" ht="120" x14ac:dyDescent="0.25">
      <c r="A13" s="204" t="s">
        <v>180</v>
      </c>
      <c r="B13" s="205"/>
      <c r="C13" s="206"/>
      <c r="D13" s="202" t="s">
        <v>150</v>
      </c>
    </row>
    <row r="14" spans="1:16" s="9" customFormat="1" ht="60" x14ac:dyDescent="0.25">
      <c r="A14" s="204" t="s">
        <v>189</v>
      </c>
      <c r="B14" s="205"/>
      <c r="C14" s="206"/>
      <c r="D14" s="202" t="s">
        <v>190</v>
      </c>
    </row>
    <row r="15" spans="1:16" s="9" customFormat="1" ht="45" x14ac:dyDescent="0.25">
      <c r="A15" s="204" t="s">
        <v>204</v>
      </c>
      <c r="B15" s="205"/>
      <c r="C15" s="206"/>
      <c r="D15" s="202" t="s">
        <v>205</v>
      </c>
    </row>
    <row r="16" spans="1:16" s="9" customFormat="1" ht="30" x14ac:dyDescent="0.25">
      <c r="A16" s="204" t="s">
        <v>191</v>
      </c>
      <c r="B16" s="205"/>
      <c r="C16" s="206"/>
      <c r="D16" s="202" t="s">
        <v>192</v>
      </c>
    </row>
    <row r="17" spans="1:4" s="9" customFormat="1" ht="60.75" thickBot="1" x14ac:dyDescent="0.3">
      <c r="A17" s="207" t="s">
        <v>193</v>
      </c>
      <c r="B17" s="208"/>
      <c r="C17" s="209"/>
      <c r="D17" s="203" t="s">
        <v>194</v>
      </c>
    </row>
    <row r="18" spans="1:4" s="9" customFormat="1" x14ac:dyDescent="0.25">
      <c r="A18" s="263" t="s">
        <v>155</v>
      </c>
      <c r="B18" s="264"/>
      <c r="C18" s="264"/>
      <c r="D18" s="265"/>
    </row>
    <row r="19" spans="1:4" ht="75" x14ac:dyDescent="0.25">
      <c r="A19" s="210" t="s">
        <v>21</v>
      </c>
      <c r="B19" s="211"/>
      <c r="C19" s="212"/>
      <c r="D19" s="217" t="s">
        <v>195</v>
      </c>
    </row>
    <row r="20" spans="1:4" s="9" customFormat="1" ht="60" x14ac:dyDescent="0.25">
      <c r="A20" s="213" t="s">
        <v>184</v>
      </c>
      <c r="B20" s="211"/>
      <c r="C20" s="212"/>
      <c r="D20" s="217" t="s">
        <v>183</v>
      </c>
    </row>
    <row r="21" spans="1:4" ht="45" x14ac:dyDescent="0.25">
      <c r="A21" s="213" t="s">
        <v>185</v>
      </c>
      <c r="B21" s="211"/>
      <c r="C21" s="212"/>
      <c r="D21" s="217" t="s">
        <v>186</v>
      </c>
    </row>
    <row r="22" spans="1:4" ht="90.75" thickBot="1" x14ac:dyDescent="0.3">
      <c r="A22" s="214" t="s">
        <v>187</v>
      </c>
      <c r="B22" s="215"/>
      <c r="C22" s="216"/>
      <c r="D22" s="218" t="s">
        <v>188</v>
      </c>
    </row>
    <row r="23" spans="1:4" x14ac:dyDescent="0.25">
      <c r="A23" s="4"/>
    </row>
    <row r="24" spans="1:4" x14ac:dyDescent="0.25">
      <c r="A24" s="4"/>
    </row>
    <row r="25" spans="1:4" x14ac:dyDescent="0.25">
      <c r="A25" s="4"/>
    </row>
    <row r="26" spans="1:4" x14ac:dyDescent="0.25">
      <c r="A26" s="4"/>
    </row>
    <row r="27" spans="1:4" x14ac:dyDescent="0.25">
      <c r="A27" s="4"/>
    </row>
    <row r="28" spans="1:4" x14ac:dyDescent="0.25">
      <c r="A28" s="4"/>
    </row>
    <row r="29" spans="1:4" x14ac:dyDescent="0.25">
      <c r="A29" s="4"/>
    </row>
  </sheetData>
  <mergeCells count="4">
    <mergeCell ref="A1:D1"/>
    <mergeCell ref="A3:D3"/>
    <mergeCell ref="A10:D10"/>
    <mergeCell ref="A18:D18"/>
  </mergeCells>
  <pageMargins left="0.98425196850393704" right="0.51181102362204722" top="0.78740157480314965" bottom="0.78740157480314965" header="0.31496062992125984" footer="0.31496062992125984"/>
  <pageSetup paperSize="9" scale="71"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CD800F-AA62-42A4-AB6C-EACCE2BB2148}">
  <sheetPr>
    <pageSetUpPr fitToPage="1"/>
  </sheetPr>
  <dimension ref="A2:Q160"/>
  <sheetViews>
    <sheetView topLeftCell="A202" zoomScale="115" zoomScaleNormal="115" workbookViewId="0">
      <selection activeCell="R214" sqref="A1:R214"/>
    </sheetView>
  </sheetViews>
  <sheetFormatPr defaultRowHeight="15" x14ac:dyDescent="0.25"/>
  <cols>
    <col min="14" max="14" width="12.42578125" customWidth="1"/>
  </cols>
  <sheetData>
    <row r="2" spans="1:17" ht="18.75" x14ac:dyDescent="0.3">
      <c r="A2" s="259" t="s">
        <v>143</v>
      </c>
      <c r="B2" s="259"/>
      <c r="C2" s="259"/>
      <c r="D2" s="259"/>
      <c r="E2" s="259"/>
      <c r="F2" s="259"/>
      <c r="G2" s="259"/>
      <c r="H2" s="259"/>
      <c r="I2" s="259"/>
      <c r="J2" s="259"/>
      <c r="K2" s="259"/>
      <c r="L2" s="259"/>
      <c r="M2" s="259"/>
      <c r="N2" s="259"/>
    </row>
    <row r="3" spans="1:17" s="5" customFormat="1" ht="18.75" x14ac:dyDescent="0.3">
      <c r="A3" s="198"/>
      <c r="B3" s="198"/>
      <c r="C3" s="198"/>
      <c r="D3" s="198"/>
      <c r="E3" s="198"/>
      <c r="F3" s="198"/>
      <c r="G3" s="198"/>
      <c r="H3" s="198"/>
      <c r="I3" s="198"/>
      <c r="J3" s="198"/>
      <c r="K3" s="198"/>
      <c r="L3" s="198"/>
      <c r="M3" s="198"/>
      <c r="N3" s="198"/>
    </row>
    <row r="4" spans="1:17" ht="16.5" thickBot="1" x14ac:dyDescent="0.3">
      <c r="A4" s="266" t="s">
        <v>144</v>
      </c>
      <c r="B4" s="266"/>
      <c r="C4" s="266"/>
      <c r="D4" s="266"/>
      <c r="E4" s="266"/>
      <c r="F4" s="266"/>
      <c r="G4" s="266"/>
      <c r="H4" s="266"/>
      <c r="I4" s="266"/>
      <c r="J4" s="266"/>
      <c r="K4" s="266"/>
      <c r="L4" s="266"/>
      <c r="M4" s="266"/>
      <c r="N4" s="266"/>
    </row>
    <row r="5" spans="1:17" ht="15.75" thickTop="1" x14ac:dyDescent="0.25">
      <c r="A5" s="268" t="s">
        <v>167</v>
      </c>
      <c r="B5" s="269"/>
      <c r="C5" s="269"/>
      <c r="D5" s="269"/>
      <c r="E5" s="269"/>
      <c r="F5" s="269"/>
      <c r="G5" s="269"/>
      <c r="H5" s="269"/>
      <c r="I5" s="269"/>
      <c r="J5" s="269"/>
      <c r="K5" s="269"/>
      <c r="L5" s="269"/>
      <c r="M5" s="269"/>
      <c r="N5" s="269"/>
    </row>
    <row r="12" spans="1:17" x14ac:dyDescent="0.25">
      <c r="Q12" s="12"/>
    </row>
    <row r="134" spans="1:14" ht="16.5" thickBot="1" x14ac:dyDescent="0.3">
      <c r="A134" s="266" t="s">
        <v>145</v>
      </c>
      <c r="B134" s="266"/>
      <c r="C134" s="266"/>
      <c r="D134" s="266"/>
      <c r="E134" s="266"/>
      <c r="F134" s="266"/>
      <c r="G134" s="266"/>
      <c r="H134" s="266"/>
      <c r="I134" s="266"/>
      <c r="J134" s="266"/>
      <c r="K134" s="266"/>
      <c r="L134" s="266"/>
      <c r="M134" s="266"/>
      <c r="N134" s="266"/>
    </row>
    <row r="135" spans="1:14" ht="15.75" thickTop="1" x14ac:dyDescent="0.25">
      <c r="A135" s="270" t="s">
        <v>168</v>
      </c>
      <c r="B135" s="271"/>
      <c r="C135" s="271"/>
      <c r="D135" s="271"/>
      <c r="E135" s="271"/>
      <c r="F135" s="271"/>
      <c r="G135" s="271"/>
      <c r="H135" s="271"/>
      <c r="I135" s="271"/>
      <c r="J135" s="271"/>
      <c r="K135" s="271"/>
      <c r="L135" s="271"/>
      <c r="M135" s="271"/>
      <c r="N135" s="271"/>
    </row>
    <row r="156" spans="1:17" ht="18.75" x14ac:dyDescent="0.3">
      <c r="A156" s="267" t="s">
        <v>161</v>
      </c>
      <c r="B156" s="267"/>
      <c r="C156" s="267"/>
      <c r="D156" s="267"/>
      <c r="E156" s="267"/>
      <c r="F156" s="267"/>
      <c r="G156" s="267"/>
      <c r="H156" s="267"/>
      <c r="I156" s="267"/>
      <c r="J156" s="267"/>
      <c r="K156" s="267"/>
      <c r="L156" s="267"/>
      <c r="M156" s="267"/>
      <c r="N156" s="267"/>
      <c r="Q156" s="6"/>
    </row>
    <row r="157" spans="1:17" ht="16.5" thickBot="1" x14ac:dyDescent="0.3">
      <c r="A157" s="266" t="s">
        <v>146</v>
      </c>
      <c r="B157" s="266"/>
      <c r="C157" s="266"/>
      <c r="D157" s="266"/>
      <c r="E157" s="266"/>
      <c r="F157" s="266"/>
      <c r="G157" s="266"/>
      <c r="H157" s="266"/>
      <c r="I157" s="266"/>
      <c r="J157" s="266"/>
      <c r="K157" s="266"/>
      <c r="L157" s="266"/>
      <c r="M157" s="266"/>
      <c r="N157" s="266"/>
    </row>
    <row r="158" spans="1:17" ht="18.75" customHeight="1" thickTop="1" x14ac:dyDescent="0.25">
      <c r="A158" s="272" t="s">
        <v>169</v>
      </c>
      <c r="B158" s="273"/>
      <c r="C158" s="273"/>
      <c r="D158" s="273"/>
      <c r="E158" s="273"/>
      <c r="F158" s="273"/>
      <c r="G158" s="273"/>
      <c r="H158" s="273"/>
      <c r="I158" s="273"/>
      <c r="J158" s="273"/>
      <c r="K158" s="273"/>
      <c r="L158" s="273"/>
      <c r="M158" s="273"/>
      <c r="N158" s="273"/>
    </row>
    <row r="160" spans="1:17" x14ac:dyDescent="0.25">
      <c r="M160" s="12"/>
    </row>
  </sheetData>
  <mergeCells count="8">
    <mergeCell ref="A158:N158"/>
    <mergeCell ref="A2:N2"/>
    <mergeCell ref="A4:N4"/>
    <mergeCell ref="A134:N134"/>
    <mergeCell ref="A156:N156"/>
    <mergeCell ref="A157:N157"/>
    <mergeCell ref="A5:N5"/>
    <mergeCell ref="A135:N135"/>
  </mergeCells>
  <hyperlinks>
    <hyperlink ref="A5" r:id="rId1" xr:uid="{9A0C073D-2506-497D-B57F-E4DF0AE83798}"/>
    <hyperlink ref="A135" r:id="rId2" xr:uid="{F75999C4-24EC-4EE0-A4F7-EDF999CF2010}"/>
    <hyperlink ref="A158" r:id="rId3" xr:uid="{94B57C6D-4965-4C78-ADD3-B10445F79E5A}"/>
  </hyperlinks>
  <pageMargins left="0.98425196850393704" right="0.39370078740157483" top="0.78740157480314965" bottom="0.78740157480314965" header="0.31496062992125984" footer="0.31496062992125984"/>
  <pageSetup paperSize="9" scale="52" fitToHeight="0" orientation="portrait" r:id="rId4"/>
  <drawing r:id="rId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8A0679-841D-4A42-95E6-769C8D18DE8E}">
  <sheetPr>
    <pageSetUpPr fitToPage="1"/>
  </sheetPr>
  <dimension ref="B1:O14"/>
  <sheetViews>
    <sheetView zoomScaleNormal="100" workbookViewId="0">
      <selection activeCell="G6" sqref="G6"/>
    </sheetView>
  </sheetViews>
  <sheetFormatPr defaultRowHeight="15" x14ac:dyDescent="0.25"/>
  <cols>
    <col min="2" max="2" width="57.28515625" customWidth="1"/>
    <col min="3" max="3" width="16.140625" customWidth="1"/>
    <col min="7" max="7" width="37.140625" customWidth="1"/>
    <col min="8" max="8" width="15.7109375" style="1" customWidth="1"/>
    <col min="14" max="14" width="36.42578125" customWidth="1"/>
    <col min="15" max="15" width="15.85546875" customWidth="1"/>
  </cols>
  <sheetData>
    <row r="1" spans="2:15" ht="18.75" x14ac:dyDescent="0.3">
      <c r="B1" s="259" t="s">
        <v>163</v>
      </c>
      <c r="C1" s="259"/>
      <c r="D1" s="158"/>
      <c r="E1" s="158"/>
      <c r="F1" s="158"/>
      <c r="G1" s="158"/>
      <c r="H1" s="158"/>
      <c r="I1" s="158"/>
      <c r="J1" s="158"/>
      <c r="K1" s="158"/>
      <c r="L1" s="158"/>
      <c r="M1" s="158"/>
      <c r="N1" s="158"/>
      <c r="O1" s="158"/>
    </row>
    <row r="2" spans="2:15" ht="16.5" thickBot="1" x14ac:dyDescent="0.3">
      <c r="B2" s="276" t="s">
        <v>165</v>
      </c>
      <c r="C2" s="276"/>
      <c r="D2" s="194"/>
      <c r="E2" s="194"/>
      <c r="F2" s="194"/>
      <c r="H2"/>
    </row>
    <row r="3" spans="2:15" ht="30" customHeight="1" thickTop="1" x14ac:dyDescent="0.25">
      <c r="B3" s="277" t="s">
        <v>164</v>
      </c>
      <c r="C3" s="277"/>
      <c r="D3" s="195"/>
      <c r="E3" s="195"/>
      <c r="F3" s="195"/>
    </row>
    <row r="4" spans="2:15" ht="15.75" thickBot="1" x14ac:dyDescent="0.3"/>
    <row r="5" spans="2:15" x14ac:dyDescent="0.25">
      <c r="B5" s="274" t="s">
        <v>166</v>
      </c>
      <c r="C5" s="275"/>
      <c r="D5" s="159"/>
      <c r="E5" s="159"/>
      <c r="F5" s="159"/>
    </row>
    <row r="6" spans="2:15" x14ac:dyDescent="0.25">
      <c r="B6" s="107" t="s">
        <v>196</v>
      </c>
      <c r="C6" s="110">
        <f>12.7*91.7</f>
        <v>1164.5899999999999</v>
      </c>
    </row>
    <row r="7" spans="2:15" x14ac:dyDescent="0.25">
      <c r="B7" s="35" t="s">
        <v>197</v>
      </c>
      <c r="C7" s="110">
        <v>290.91000000000003</v>
      </c>
      <c r="G7" s="12"/>
    </row>
    <row r="8" spans="2:15" x14ac:dyDescent="0.25">
      <c r="B8" s="188" t="s">
        <v>170</v>
      </c>
      <c r="C8" s="189">
        <f>C6*C7</f>
        <v>338790.87690000003</v>
      </c>
    </row>
    <row r="9" spans="2:15" ht="15.75" thickBot="1" x14ac:dyDescent="0.3">
      <c r="G9" s="6"/>
    </row>
    <row r="10" spans="2:15" x14ac:dyDescent="0.25">
      <c r="B10" s="274" t="s">
        <v>175</v>
      </c>
      <c r="C10" s="275"/>
    </row>
    <row r="11" spans="2:15" x14ac:dyDescent="0.25">
      <c r="B11" s="188" t="s">
        <v>170</v>
      </c>
      <c r="C11" s="191">
        <f>C8</f>
        <v>338790.87690000003</v>
      </c>
    </row>
    <row r="12" spans="2:15" x14ac:dyDescent="0.25">
      <c r="B12" s="190" t="s">
        <v>171</v>
      </c>
      <c r="C12" s="191">
        <f>ORÇAMENTO!Z36</f>
        <v>282241.39003438636</v>
      </c>
    </row>
    <row r="13" spans="2:15" x14ac:dyDescent="0.25">
      <c r="B13" s="192" t="s">
        <v>172</v>
      </c>
      <c r="C13" s="193">
        <f>C8-C12</f>
        <v>56549.486865613668</v>
      </c>
    </row>
    <row r="14" spans="2:15" ht="15.75" thickBot="1" x14ac:dyDescent="0.3">
      <c r="B14" s="186"/>
      <c r="C14" s="187">
        <f>C12/C8</f>
        <v>0.83308438709137611</v>
      </c>
    </row>
  </sheetData>
  <mergeCells count="5">
    <mergeCell ref="B10:C10"/>
    <mergeCell ref="B5:C5"/>
    <mergeCell ref="B2:C2"/>
    <mergeCell ref="B1:C1"/>
    <mergeCell ref="B3:C3"/>
  </mergeCells>
  <hyperlinks>
    <hyperlink ref="B3" r:id="rId1" xr:uid="{E95E49D9-F6C3-411A-8331-1F32A19E2F2C}"/>
  </hyperlinks>
  <pageMargins left="0.98425196850393704" right="0.51181102362204722" top="0.78740157480314965" bottom="0.78740157480314965" header="0.31496062992125984" footer="0.31496062992125984"/>
  <pageSetup paperSize="9" scale="94" orientation="portrait" r:id="rId2"/>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B7FD41664CBA7647869857DDFDC2814D" ma:contentTypeVersion="16" ma:contentTypeDescription="Crie um novo documento." ma:contentTypeScope="" ma:versionID="60f7d8dd9b1e2693f16247daec213fdb">
  <xsd:schema xmlns:xsd="http://www.w3.org/2001/XMLSchema" xmlns:xs="http://www.w3.org/2001/XMLSchema" xmlns:p="http://schemas.microsoft.com/office/2006/metadata/properties" xmlns:ns1="http://schemas.microsoft.com/sharepoint/v3" xmlns:ns3="2ac5d31a-a8db-47d7-8c6d-7080883e5724" xmlns:ns4="26c9d628-b3d2-46bd-8abb-b4cd05045f96" targetNamespace="http://schemas.microsoft.com/office/2006/metadata/properties" ma:root="true" ma:fieldsID="db53a28ca5a7056f4387730e14f390e1" ns1:_="" ns3:_="" ns4:_="">
    <xsd:import namespace="http://schemas.microsoft.com/sharepoint/v3"/>
    <xsd:import namespace="2ac5d31a-a8db-47d7-8c6d-7080883e5724"/>
    <xsd:import namespace="26c9d628-b3d2-46bd-8abb-b4cd05045f96"/>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DateTaken" minOccurs="0"/>
                <xsd:element ref="ns3:MediaServiceAutoTags" minOccurs="0"/>
                <xsd:element ref="ns3:MediaServiceLocation" minOccurs="0"/>
                <xsd:element ref="ns3:MediaServiceOCR" minOccurs="0"/>
                <xsd:element ref="ns3:MediaServiceGenerationTime" minOccurs="0"/>
                <xsd:element ref="ns3:MediaServiceEventHashCode" minOccurs="0"/>
                <xsd:element ref="ns1:_ip_UnifiedCompliancePolicyProperties" minOccurs="0"/>
                <xsd:element ref="ns1:_ip_UnifiedCompliancePolicyUIAction" minOccurs="0"/>
                <xsd:element ref="ns3:MediaLengthInSeconds"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9" nillable="true" ma:displayName="Propriedades da Política de Conformidade Unificada" ma:hidden="true" ma:internalName="_ip_UnifiedCompliancePolicyProperties">
      <xsd:simpleType>
        <xsd:restriction base="dms:Note"/>
      </xsd:simpleType>
    </xsd:element>
    <xsd:element name="_ip_UnifiedCompliancePolicyUIAction" ma:index="20" nillable="true" ma:displayName="Ação de Interface do Usuário da Política de Conformidade Unificada"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ac5d31a-a8db-47d7-8c6d-7080883e572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21" nillable="true" ma:displayName="Length (seconds)" ma:internalName="MediaLengthInSeconds" ma:readOnly="true">
      <xsd:simpleType>
        <xsd:restriction base="dms:Unknown"/>
      </xsd:simpleType>
    </xsd:element>
    <xsd:element name="MediaServiceAutoKeyPoints" ma:index="22" nillable="true" ma:displayName="MediaServiceAutoKeyPoints" ma:hidden="true" ma:internalName="MediaServiceAutoKeyPoints" ma:readOnly="true">
      <xsd:simpleType>
        <xsd:restriction base="dms:Note"/>
      </xsd:simpleType>
    </xsd:element>
    <xsd:element name="MediaServiceKeyPoints" ma:index="23"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6c9d628-b3d2-46bd-8abb-b4cd05045f96" elementFormDefault="qualified">
    <xsd:import namespace="http://schemas.microsoft.com/office/2006/documentManagement/types"/>
    <xsd:import namespace="http://schemas.microsoft.com/office/infopath/2007/PartnerControls"/>
    <xsd:element name="SharedWithUsers" ma:index="10"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hes de Compartilhado Com" ma:internalName="SharedWithDetails" ma:readOnly="true">
      <xsd:simpleType>
        <xsd:restriction base="dms:Note">
          <xsd:maxLength value="255"/>
        </xsd:restriction>
      </xsd:simpleType>
    </xsd:element>
    <xsd:element name="SharingHintHash" ma:index="12" nillable="true" ma:displayName="Hash de Dica de Compartilhamento"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1C3E08C-5994-4ED5-8FC4-10F25AFD35A1}">
  <ds:schemaRefs>
    <ds:schemaRef ds:uri="2ac5d31a-a8db-47d7-8c6d-7080883e5724"/>
    <ds:schemaRef ds:uri="http://www.w3.org/XML/1998/namespace"/>
    <ds:schemaRef ds:uri="26c9d628-b3d2-46bd-8abb-b4cd05045f96"/>
    <ds:schemaRef ds:uri="http://purl.org/dc/elements/1.1/"/>
    <ds:schemaRef ds:uri="http://purl.org/dc/dcmitype/"/>
    <ds:schemaRef ds:uri="http://schemas.microsoft.com/office/infopath/2007/PartnerControls"/>
    <ds:schemaRef ds:uri="http://schemas.microsoft.com/office/2006/metadata/properties"/>
    <ds:schemaRef ds:uri="http://schemas.microsoft.com/office/2006/documentManagement/types"/>
    <ds:schemaRef ds:uri="http://schemas.openxmlformats.org/package/2006/metadata/core-properties"/>
    <ds:schemaRef ds:uri="http://schemas.microsoft.com/sharepoint/v3"/>
    <ds:schemaRef ds:uri="http://purl.org/dc/terms/"/>
  </ds:schemaRefs>
</ds:datastoreItem>
</file>

<file path=customXml/itemProps2.xml><?xml version="1.0" encoding="utf-8"?>
<ds:datastoreItem xmlns:ds="http://schemas.openxmlformats.org/officeDocument/2006/customXml" ds:itemID="{2423F400-EEE5-4BDA-849E-8A8428ED08E8}">
  <ds:schemaRefs>
    <ds:schemaRef ds:uri="http://schemas.microsoft.com/sharepoint/v3/contenttype/forms"/>
  </ds:schemaRefs>
</ds:datastoreItem>
</file>

<file path=customXml/itemProps3.xml><?xml version="1.0" encoding="utf-8"?>
<ds:datastoreItem xmlns:ds="http://schemas.openxmlformats.org/officeDocument/2006/customXml" ds:itemID="{57415A95-25C9-4F21-9C0B-23138DB0D1E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2ac5d31a-a8db-47d7-8c6d-7080883e5724"/>
    <ds:schemaRef ds:uri="26c9d628-b3d2-46bd-8abb-b4cd05045f9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7</vt:i4>
      </vt:variant>
      <vt:variant>
        <vt:lpstr>Intervalos Nomeados</vt:lpstr>
      </vt:variant>
      <vt:variant>
        <vt:i4>7</vt:i4>
      </vt:variant>
    </vt:vector>
  </HeadingPairs>
  <TitlesOfParts>
    <vt:vector size="14" baseType="lpstr">
      <vt:lpstr>Produtos Técnicos</vt:lpstr>
      <vt:lpstr>Cronograma</vt:lpstr>
      <vt:lpstr>Fator K e TRDE</vt:lpstr>
      <vt:lpstr>ORÇAMENTO</vt:lpstr>
      <vt:lpstr>Memória de Cálculo e Justif</vt:lpstr>
      <vt:lpstr>Referências</vt:lpstr>
      <vt:lpstr>Verificação</vt:lpstr>
      <vt:lpstr>Cronograma!Area_de_impressao</vt:lpstr>
      <vt:lpstr>'Fator K e TRDE'!Area_de_impressao</vt:lpstr>
      <vt:lpstr>'Memória de Cálculo e Justif'!Area_de_impressao</vt:lpstr>
      <vt:lpstr>ORÇAMENTO!Area_de_impressao</vt:lpstr>
      <vt:lpstr>'Produtos Técnicos'!Area_de_impressao</vt:lpstr>
      <vt:lpstr>Referências!Area_de_impressao</vt:lpstr>
      <vt:lpstr>Verificação!Area_de_impressao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2022-05-23T15:50:21Z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0x010100B7FD41664CBA7647869857DDFDC2814D</vt:lpwstr>
  </property>
  <property fmtid="{D5CDD505-2E9C-101B-9397-08002B2CF9AE}" pid="3" name="MSIP_Label_fde7aacd-7cc4-4c31-9e6f-7ef306428f09_Enabled">
    <vt:lpwstr>true</vt:lpwstr>
  </property>
  <property fmtid="{D5CDD505-2E9C-101B-9397-08002B2CF9AE}" pid="4" name="MSIP_Label_fde7aacd-7cc4-4c31-9e6f-7ef306428f09_SetDate">
    <vt:lpwstr>2022-04-18T15:29:43Z</vt:lpwstr>
  </property>
  <property fmtid="{D5CDD505-2E9C-101B-9397-08002B2CF9AE}" pid="5" name="MSIP_Label_fde7aacd-7cc4-4c31-9e6f-7ef306428f09_Method">
    <vt:lpwstr>Privileged</vt:lpwstr>
  </property>
  <property fmtid="{D5CDD505-2E9C-101B-9397-08002B2CF9AE}" pid="6" name="MSIP_Label_fde7aacd-7cc4-4c31-9e6f-7ef306428f09_Name">
    <vt:lpwstr>_PUBLICO</vt:lpwstr>
  </property>
  <property fmtid="{D5CDD505-2E9C-101B-9397-08002B2CF9AE}" pid="7" name="MSIP_Label_fde7aacd-7cc4-4c31-9e6f-7ef306428f09_SiteId">
    <vt:lpwstr>ab9bba98-684a-43fb-add8-9c2bebede229</vt:lpwstr>
  </property>
  <property fmtid="{D5CDD505-2E9C-101B-9397-08002B2CF9AE}" pid="8" name="MSIP_Label_fde7aacd-7cc4-4c31-9e6f-7ef306428f09_ActionId">
    <vt:lpwstr>6eaf4b17-04b0-4f71-a55c-08b3c318b2a1</vt:lpwstr>
  </property>
  <property fmtid="{D5CDD505-2E9C-101B-9397-08002B2CF9AE}" pid="9" name="MSIP_Label_fde7aacd-7cc4-4c31-9e6f-7ef306428f09_ContentBits">
    <vt:lpwstr>1</vt:lpwstr>
  </property>
</Properties>
</file>